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0B13343C-8366-442B-B8E1-B589393B2EFA}"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'3.Toelichting'!$A$1:$D$323</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D132" i="12" l="1"/>
  <c r="E132" i="12"/>
  <c r="D133" i="12"/>
  <c r="E133" i="12"/>
  <c r="D134" i="12"/>
  <c r="E134" i="12"/>
  <c r="D135" i="12"/>
  <c r="E135" i="12"/>
  <c r="D136" i="12"/>
  <c r="E136" i="12"/>
  <c r="D137" i="12"/>
  <c r="E137" i="12"/>
  <c r="D138" i="12"/>
  <c r="E138" i="12"/>
  <c r="K137" i="12" l="1"/>
  <c r="F135" i="12"/>
  <c r="K134" i="12"/>
  <c r="F138" i="12"/>
  <c r="F136" i="12"/>
  <c r="F134" i="12"/>
  <c r="F132"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V155" i="9"/>
  <c r="W155" i="9"/>
  <c r="AF135" i="9"/>
  <c r="AF108" i="9"/>
  <c r="AF78" i="9"/>
  <c r="AF71" i="9"/>
  <c r="AF65" i="9"/>
  <c r="AF57" i="9"/>
  <c r="AF50" i="9"/>
  <c r="AF40" i="9"/>
  <c r="AF31" i="9"/>
  <c r="AF24" i="9"/>
  <c r="AF14" i="9"/>
  <c r="AF80" i="9" s="1"/>
  <c r="W78" i="9"/>
  <c r="W71" i="9"/>
  <c r="W65" i="9"/>
  <c r="W57" i="9"/>
  <c r="W50" i="9"/>
  <c r="W40" i="9"/>
  <c r="W31" i="9"/>
  <c r="W24" i="9"/>
  <c r="W14" i="9"/>
  <c r="W80" i="9" s="1"/>
  <c r="W174" i="9" s="1"/>
  <c r="W108" i="9"/>
  <c r="W172" i="9" s="1"/>
  <c r="V135" i="9"/>
  <c r="W135" i="9"/>
  <c r="W170" i="9"/>
  <c r="X170" i="9"/>
  <c r="Y170" i="9"/>
  <c r="V170" i="9"/>
  <c r="AF172" i="9"/>
  <c r="AF174" i="9" s="1"/>
  <c r="D173" i="12" l="1"/>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Y174" i="8" s="1"/>
  <c r="AD172" i="8"/>
  <c r="X172" i="8"/>
  <c r="W172" i="8"/>
  <c r="AD80" i="8"/>
  <c r="AD174" i="8" s="1"/>
  <c r="AC80" i="8"/>
  <c r="Z80" i="8"/>
  <c r="W80"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M172" i="9" s="1"/>
  <c r="N108" i="9"/>
  <c r="O108" i="9"/>
  <c r="P108" i="9"/>
  <c r="Q108" i="9"/>
  <c r="R108" i="9"/>
  <c r="S108" i="9"/>
  <c r="T108" i="9"/>
  <c r="U108" i="9"/>
  <c r="V108" i="9"/>
  <c r="X108" i="9"/>
  <c r="Y108" i="9"/>
  <c r="Z108" i="9"/>
  <c r="AA108" i="9"/>
  <c r="AB108" i="9"/>
  <c r="AC108" i="9"/>
  <c r="AD108" i="9"/>
  <c r="AE108" i="9"/>
  <c r="AG108" i="9"/>
  <c r="AH108" i="9"/>
  <c r="AH172" i="9" s="1"/>
  <c r="AI108" i="9"/>
  <c r="AI172" i="9" s="1"/>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47" i="12"/>
  <c r="E22" i="12" s="1"/>
  <c r="J71" i="11"/>
  <c r="J70" i="11"/>
  <c r="J69" i="11"/>
  <c r="J68" i="11"/>
  <c r="J72" i="11"/>
  <c r="J67" i="1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A1" i="11" l="1"/>
  <c r="F228" i="12"/>
  <c r="E20" i="12" s="1"/>
  <c r="F237" i="12"/>
  <c r="E21" i="12" s="1"/>
  <c r="K155" i="12"/>
  <c r="K130" i="12"/>
  <c r="K128" i="12"/>
  <c r="K114" i="12"/>
  <c r="K153" i="12"/>
  <c r="K112" i="12"/>
  <c r="K110" i="12"/>
  <c r="K108" i="12"/>
  <c r="K154" i="12"/>
  <c r="K152" i="12"/>
  <c r="K131" i="12"/>
  <c r="K129" i="12"/>
  <c r="K113" i="12"/>
  <c r="K111" i="12"/>
  <c r="K109" i="12"/>
  <c r="K107" i="12"/>
  <c r="K105" i="12"/>
  <c r="K106" i="12"/>
  <c r="I172" i="9"/>
  <c r="E172" i="9"/>
  <c r="L172" i="9"/>
  <c r="H172" i="9"/>
  <c r="D172" i="9"/>
  <c r="H180" i="12"/>
  <c r="H178" i="12"/>
  <c r="H176" i="12"/>
  <c r="H174" i="12"/>
  <c r="H172" i="12"/>
  <c r="H170" i="12"/>
  <c r="H168" i="12"/>
  <c r="H166" i="12"/>
  <c r="H164" i="12"/>
  <c r="H162" i="12"/>
  <c r="H160" i="12"/>
  <c r="H158" i="12"/>
  <c r="H156" i="12"/>
  <c r="H154" i="12"/>
  <c r="H152" i="12"/>
  <c r="H150" i="12"/>
  <c r="H148" i="12"/>
  <c r="H146" i="12"/>
  <c r="H144" i="12"/>
  <c r="H142" i="12"/>
  <c r="E58" i="12"/>
  <c r="E56" i="12"/>
  <c r="E54" i="12"/>
  <c r="E52" i="12"/>
  <c r="E50" i="12"/>
  <c r="E48" i="12"/>
  <c r="E46" i="12"/>
  <c r="E44" i="12"/>
  <c r="E42" i="12"/>
  <c r="E40" i="12"/>
  <c r="E38" i="12"/>
  <c r="H175" i="12"/>
  <c r="H173" i="12"/>
  <c r="H169" i="12"/>
  <c r="H165" i="12"/>
  <c r="H161" i="12"/>
  <c r="H157" i="12"/>
  <c r="H153" i="12"/>
  <c r="H149" i="12"/>
  <c r="H145" i="12"/>
  <c r="H139" i="12"/>
  <c r="H137" i="12"/>
  <c r="H135" i="12"/>
  <c r="H133" i="12"/>
  <c r="H131" i="12"/>
  <c r="H129" i="12"/>
  <c r="H127" i="12"/>
  <c r="H125" i="12"/>
  <c r="H123" i="12"/>
  <c r="H121" i="12"/>
  <c r="H119" i="12"/>
  <c r="H117" i="12"/>
  <c r="H115" i="12"/>
  <c r="H113" i="12"/>
  <c r="H111" i="12"/>
  <c r="H109" i="12"/>
  <c r="H107" i="12"/>
  <c r="H105" i="12"/>
  <c r="E94" i="12"/>
  <c r="E92" i="12"/>
  <c r="E90" i="12"/>
  <c r="E88" i="12"/>
  <c r="E86" i="12"/>
  <c r="E84" i="12"/>
  <c r="E82" i="12"/>
  <c r="E80" i="12"/>
  <c r="E78" i="12"/>
  <c r="E76" i="12"/>
  <c r="E74" i="12"/>
  <c r="E72" i="12"/>
  <c r="E70" i="12"/>
  <c r="E68" i="12"/>
  <c r="E66" i="12"/>
  <c r="E64" i="12"/>
  <c r="E62" i="12"/>
  <c r="E60" i="12"/>
  <c r="H177" i="12"/>
  <c r="H171" i="12"/>
  <c r="H167" i="12"/>
  <c r="H163" i="12"/>
  <c r="H159" i="12"/>
  <c r="H155" i="12"/>
  <c r="H147" i="12"/>
  <c r="H143" i="12"/>
  <c r="H141" i="12"/>
  <c r="H179" i="12"/>
  <c r="H140" i="12"/>
  <c r="H138" i="12"/>
  <c r="H136" i="12"/>
  <c r="H134" i="12"/>
  <c r="H132" i="12"/>
  <c r="H130" i="12"/>
  <c r="H128" i="12"/>
  <c r="H126" i="12"/>
  <c r="H124" i="12"/>
  <c r="H122" i="12"/>
  <c r="H120" i="12"/>
  <c r="H118" i="12"/>
  <c r="H116" i="12"/>
  <c r="H114" i="12"/>
  <c r="H112" i="12"/>
  <c r="H110" i="12"/>
  <c r="H108" i="12"/>
  <c r="H106" i="12"/>
  <c r="E95" i="12"/>
  <c r="E93" i="12"/>
  <c r="E91" i="12"/>
  <c r="E89" i="12"/>
  <c r="E87" i="12"/>
  <c r="E85" i="12"/>
  <c r="E83" i="12"/>
  <c r="E81" i="12"/>
  <c r="E79" i="12"/>
  <c r="E77" i="12"/>
  <c r="E75" i="12"/>
  <c r="E73" i="12"/>
  <c r="E71" i="12"/>
  <c r="E69" i="12"/>
  <c r="E67" i="12"/>
  <c r="E65" i="12"/>
  <c r="E63" i="12"/>
  <c r="E61" i="12"/>
  <c r="H151" i="12"/>
  <c r="E57" i="12"/>
  <c r="E49" i="12"/>
  <c r="E41" i="12"/>
  <c r="E51" i="12"/>
  <c r="E55" i="12"/>
  <c r="E47" i="12"/>
  <c r="E39" i="12"/>
  <c r="E53" i="12"/>
  <c r="E45" i="12"/>
  <c r="E59" i="12"/>
  <c r="E43" i="12"/>
  <c r="G140" i="12"/>
  <c r="G138" i="12"/>
  <c r="I138" i="12" s="1"/>
  <c r="J138" i="12" s="1"/>
  <c r="G136" i="12"/>
  <c r="I136" i="12" s="1"/>
  <c r="J136" i="12" s="1"/>
  <c r="G134" i="12"/>
  <c r="I134" i="12" s="1"/>
  <c r="J134" i="12" s="1"/>
  <c r="G132" i="12"/>
  <c r="I132" i="12" s="1"/>
  <c r="J132" i="12" s="1"/>
  <c r="G130" i="12"/>
  <c r="G128" i="12"/>
  <c r="G126" i="12"/>
  <c r="G124" i="12"/>
  <c r="I124" i="12" s="1"/>
  <c r="J124" i="12" s="1"/>
  <c r="G122" i="12"/>
  <c r="I122" i="12" s="1"/>
  <c r="J122" i="12" s="1"/>
  <c r="G120" i="12"/>
  <c r="G118" i="12"/>
  <c r="G116" i="12"/>
  <c r="G114" i="12"/>
  <c r="G112" i="12"/>
  <c r="G110" i="12"/>
  <c r="G108" i="12"/>
  <c r="G106" i="12"/>
  <c r="D95" i="12"/>
  <c r="D93" i="12"/>
  <c r="D91" i="12"/>
  <c r="D89" i="12"/>
  <c r="D87" i="12"/>
  <c r="D85" i="12"/>
  <c r="D83" i="12"/>
  <c r="D81" i="12"/>
  <c r="D79" i="12"/>
  <c r="D77" i="12"/>
  <c r="D75" i="12"/>
  <c r="D73" i="12"/>
  <c r="D71" i="12"/>
  <c r="D69" i="12"/>
  <c r="D67" i="12"/>
  <c r="D65" i="12"/>
  <c r="D63" i="12"/>
  <c r="D61" i="12"/>
  <c r="G139" i="12"/>
  <c r="G135" i="12"/>
  <c r="G131" i="12"/>
  <c r="G127" i="12"/>
  <c r="G125" i="12"/>
  <c r="G121" i="12"/>
  <c r="G115" i="12"/>
  <c r="G109" i="12"/>
  <c r="G105" i="12"/>
  <c r="G180" i="12"/>
  <c r="G178" i="12"/>
  <c r="G176" i="12"/>
  <c r="G174" i="12"/>
  <c r="G172" i="12"/>
  <c r="G170" i="12"/>
  <c r="G168" i="12"/>
  <c r="G166" i="12"/>
  <c r="G164" i="12"/>
  <c r="G162" i="12"/>
  <c r="G160" i="12"/>
  <c r="G158" i="12"/>
  <c r="G156" i="12"/>
  <c r="G154" i="12"/>
  <c r="G152" i="12"/>
  <c r="G150" i="12"/>
  <c r="G148" i="12"/>
  <c r="G146" i="12"/>
  <c r="G144" i="12"/>
  <c r="G142" i="12"/>
  <c r="D58" i="12"/>
  <c r="D56" i="12"/>
  <c r="D54" i="12"/>
  <c r="D52" i="12"/>
  <c r="D50" i="12"/>
  <c r="D48" i="12"/>
  <c r="D46" i="12"/>
  <c r="D44" i="12"/>
  <c r="D42" i="12"/>
  <c r="D40" i="12"/>
  <c r="D38" i="12"/>
  <c r="G137" i="12"/>
  <c r="G133" i="12"/>
  <c r="I133" i="12" s="1"/>
  <c r="J133" i="12" s="1"/>
  <c r="G129" i="12"/>
  <c r="G123" i="12"/>
  <c r="G119" i="12"/>
  <c r="G113" i="12"/>
  <c r="G111" i="12"/>
  <c r="G107" i="12"/>
  <c r="D92" i="12"/>
  <c r="G179" i="12"/>
  <c r="G177" i="12"/>
  <c r="G175" i="12"/>
  <c r="G173" i="12"/>
  <c r="G171" i="12"/>
  <c r="G169" i="12"/>
  <c r="G167" i="12"/>
  <c r="G165" i="12"/>
  <c r="G163" i="12"/>
  <c r="G161" i="12"/>
  <c r="G159" i="12"/>
  <c r="G157" i="12"/>
  <c r="G155" i="12"/>
  <c r="G153" i="12"/>
  <c r="G151" i="12"/>
  <c r="G149" i="12"/>
  <c r="I149" i="12" s="1"/>
  <c r="J149" i="12" s="1"/>
  <c r="G147" i="12"/>
  <c r="G145" i="12"/>
  <c r="G143" i="12"/>
  <c r="D59" i="12"/>
  <c r="D57" i="12"/>
  <c r="D55" i="12"/>
  <c r="D53" i="12"/>
  <c r="D51" i="12"/>
  <c r="D49" i="12"/>
  <c r="D47" i="12"/>
  <c r="D45" i="12"/>
  <c r="D43" i="12"/>
  <c r="D41" i="12"/>
  <c r="D39" i="12"/>
  <c r="G117" i="12"/>
  <c r="D94" i="12"/>
  <c r="F94" i="12" s="1"/>
  <c r="D90" i="12"/>
  <c r="D82" i="12"/>
  <c r="D74" i="12"/>
  <c r="D66" i="12"/>
  <c r="D68" i="12"/>
  <c r="F68" i="12" s="1"/>
  <c r="D88" i="12"/>
  <c r="D80" i="12"/>
  <c r="D72" i="12"/>
  <c r="D64" i="12"/>
  <c r="D86" i="12"/>
  <c r="D78" i="12"/>
  <c r="D70" i="12"/>
  <c r="D62" i="12"/>
  <c r="D84" i="12"/>
  <c r="D76" i="12"/>
  <c r="G141" i="12"/>
  <c r="D60" i="12"/>
  <c r="C172" i="9"/>
  <c r="K172" i="9"/>
  <c r="G172" i="9"/>
  <c r="AE80" i="9"/>
  <c r="AK172" i="8"/>
  <c r="AG172" i="8"/>
  <c r="AH80" i="8"/>
  <c r="AE172" i="9"/>
  <c r="J172" i="9"/>
  <c r="F172"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D204" i="12"/>
  <c r="U80" i="8"/>
  <c r="R80" i="8"/>
  <c r="O80" i="8"/>
  <c r="L80" i="8"/>
  <c r="I80" i="8"/>
  <c r="AN31" i="8"/>
  <c r="AM80" i="8"/>
  <c r="AJ80" i="8"/>
  <c r="AG80" i="8"/>
  <c r="AG174" i="8" s="1"/>
  <c r="T80" i="8"/>
  <c r="Q80" i="8"/>
  <c r="N80" i="8"/>
  <c r="K80" i="8"/>
  <c r="H80" i="8"/>
  <c r="E80" i="8"/>
  <c r="AN14" i="8"/>
  <c r="D172" i="8"/>
  <c r="I172" i="8"/>
  <c r="AN57" i="8"/>
  <c r="AM172" i="8"/>
  <c r="K172" i="8"/>
  <c r="H172" i="8"/>
  <c r="F206" i="12"/>
  <c r="AH172" i="8"/>
  <c r="F80" i="8"/>
  <c r="AN50" i="8"/>
  <c r="AN78" i="8"/>
  <c r="AN24" i="8"/>
  <c r="AN71" i="8"/>
  <c r="E172" i="8"/>
  <c r="F110" i="12"/>
  <c r="AO172" i="9"/>
  <c r="AM172" i="9"/>
  <c r="AG172" i="9"/>
  <c r="Z172" i="9"/>
  <c r="AO80" i="9"/>
  <c r="AI80" i="9"/>
  <c r="AI174" i="9" s="1"/>
  <c r="AB80" i="9"/>
  <c r="AB174" i="9" s="1"/>
  <c r="U80" i="9"/>
  <c r="O80" i="9"/>
  <c r="AP71" i="9"/>
  <c r="AP65" i="9"/>
  <c r="AP31" i="9"/>
  <c r="AM80" i="9"/>
  <c r="M80" i="9"/>
  <c r="AP14" i="9"/>
  <c r="F205" i="12"/>
  <c r="F208" i="12"/>
  <c r="AP50" i="9"/>
  <c r="I80" i="9"/>
  <c r="F207" i="12"/>
  <c r="S172" i="9"/>
  <c r="AG80" i="9"/>
  <c r="Z80" i="9"/>
  <c r="Z174" i="9" s="1"/>
  <c r="S80" i="9"/>
  <c r="AN135" i="8"/>
  <c r="AP78" i="9"/>
  <c r="G80" i="9"/>
  <c r="AN108" i="8"/>
  <c r="A5" i="11"/>
  <c r="U172" i="8"/>
  <c r="S172" i="8"/>
  <c r="S174" i="8" s="1"/>
  <c r="M172" i="8"/>
  <c r="Q172" i="8"/>
  <c r="O172" i="8"/>
  <c r="G172" i="8"/>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H80" i="9"/>
  <c r="F80" i="9"/>
  <c r="D80" i="9"/>
  <c r="AF172" i="8"/>
  <c r="J172" i="8"/>
  <c r="F172" i="8"/>
  <c r="AD172" i="9"/>
  <c r="X172" i="9"/>
  <c r="AI172" i="8"/>
  <c r="AJ172" i="8"/>
  <c r="D249" i="12"/>
  <c r="D22" i="12" s="1"/>
  <c r="F157" i="12"/>
  <c r="K142" i="12"/>
  <c r="F128" i="12"/>
  <c r="K118" i="12"/>
  <c r="F115" i="12"/>
  <c r="F112" i="12"/>
  <c r="F108" i="12"/>
  <c r="F106" i="12"/>
  <c r="U172" i="9"/>
  <c r="Q172" i="9"/>
  <c r="R172" i="8"/>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D230" i="12" l="1"/>
  <c r="D20" i="12" s="1"/>
  <c r="D239" i="12"/>
  <c r="D21" i="12" s="1"/>
  <c r="F52" i="12"/>
  <c r="I150" i="12"/>
  <c r="J150" i="12" s="1"/>
  <c r="I145" i="12"/>
  <c r="F87" i="12"/>
  <c r="R174" i="8"/>
  <c r="K182" i="12"/>
  <c r="F93" i="12"/>
  <c r="F69" i="12"/>
  <c r="F67" i="12"/>
  <c r="F77" i="12"/>
  <c r="F47" i="12"/>
  <c r="F55" i="12"/>
  <c r="Q174" i="8"/>
  <c r="AM174" i="8"/>
  <c r="D194" i="12" s="1"/>
  <c r="G174" i="8"/>
  <c r="O174" i="8"/>
  <c r="AI174" i="8"/>
  <c r="D190" i="12" s="1"/>
  <c r="D174" i="8"/>
  <c r="T174" i="8"/>
  <c r="F174" i="8"/>
  <c r="J174" i="8"/>
  <c r="F56" i="12"/>
  <c r="I146" i="12"/>
  <c r="J146" i="12" s="1"/>
  <c r="I121" i="12"/>
  <c r="J121" i="12" s="1"/>
  <c r="I137" i="12"/>
  <c r="J137" i="12" s="1"/>
  <c r="I160" i="12"/>
  <c r="J160" i="12" s="1"/>
  <c r="I168" i="12"/>
  <c r="J168" i="12" s="1"/>
  <c r="I176" i="12"/>
  <c r="J176" i="12" s="1"/>
  <c r="I123" i="12"/>
  <c r="J123" i="12" s="1"/>
  <c r="I148" i="12"/>
  <c r="J148" i="12" s="1"/>
  <c r="X174" i="9"/>
  <c r="AF174" i="8"/>
  <c r="D246" i="12" s="1"/>
  <c r="J174" i="9"/>
  <c r="U174" i="8"/>
  <c r="D245" i="12" s="1"/>
  <c r="AK174" i="8"/>
  <c r="D192" i="12" s="1"/>
  <c r="F78" i="12"/>
  <c r="F53" i="12"/>
  <c r="I151" i="12"/>
  <c r="J151" i="12" s="1"/>
  <c r="F46" i="12"/>
  <c r="F54" i="12"/>
  <c r="I179" i="12"/>
  <c r="J179" i="12" s="1"/>
  <c r="I171" i="12"/>
  <c r="J171" i="12" s="1"/>
  <c r="I169" i="12"/>
  <c r="J169" i="12" s="1"/>
  <c r="I162" i="12"/>
  <c r="J162" i="12" s="1"/>
  <c r="I170" i="12"/>
  <c r="J170" i="12" s="1"/>
  <c r="I178" i="12"/>
  <c r="J178" i="12" s="1"/>
  <c r="N174" i="8"/>
  <c r="AJ174" i="8"/>
  <c r="D191" i="12" s="1"/>
  <c r="AD174" i="9"/>
  <c r="F86" i="12"/>
  <c r="I159" i="12"/>
  <c r="J159" i="12" s="1"/>
  <c r="I177" i="12"/>
  <c r="J177" i="12" s="1"/>
  <c r="I173" i="12"/>
  <c r="J173" i="12" s="1"/>
  <c r="I172" i="12"/>
  <c r="J172" i="12" s="1"/>
  <c r="M174" i="8"/>
  <c r="I147" i="12"/>
  <c r="J147" i="12" s="1"/>
  <c r="I135" i="12"/>
  <c r="J135" i="12" s="1"/>
  <c r="I163" i="12"/>
  <c r="J163" i="12" s="1"/>
  <c r="I161" i="12"/>
  <c r="J161" i="12" s="1"/>
  <c r="I175" i="12"/>
  <c r="J175" i="12" s="1"/>
  <c r="I174" i="12"/>
  <c r="J174" i="12" s="1"/>
  <c r="E174" i="9"/>
  <c r="C174" i="9"/>
  <c r="S174" i="9"/>
  <c r="AM174" i="9"/>
  <c r="E192" i="12" s="1"/>
  <c r="H174" i="8"/>
  <c r="P174" i="8"/>
  <c r="E174" i="8"/>
  <c r="AH174" i="8"/>
  <c r="I174" i="8"/>
  <c r="L174" i="8"/>
  <c r="Q174" i="9"/>
  <c r="U174" i="9"/>
  <c r="AJ174" i="9"/>
  <c r="D174" i="9"/>
  <c r="AG174" i="9"/>
  <c r="E246" i="12" s="1"/>
  <c r="O174" i="9"/>
  <c r="AO174" i="9"/>
  <c r="E194" i="12" s="1"/>
  <c r="F194" i="12" s="1"/>
  <c r="AK174" i="9"/>
  <c r="E190" i="12" s="1"/>
  <c r="F174" i="9"/>
  <c r="K174" i="9"/>
  <c r="K174" i="8"/>
  <c r="F246" i="12"/>
  <c r="L174" i="9"/>
  <c r="AE174" i="9"/>
  <c r="N174" i="9"/>
  <c r="T174" i="9"/>
  <c r="AA174" i="9"/>
  <c r="AH174" i="9"/>
  <c r="G174" i="9"/>
  <c r="M174" i="9"/>
  <c r="P174" i="9"/>
  <c r="V174" i="9"/>
  <c r="E245" i="12" s="1"/>
  <c r="AC174" i="9"/>
  <c r="AL174" i="9"/>
  <c r="E191"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F190" i="12" l="1"/>
  <c r="D29" i="12"/>
  <c r="F192" i="12"/>
  <c r="F191" i="12"/>
  <c r="D27" i="12"/>
  <c r="F97" i="12" s="1"/>
  <c r="F245" i="12"/>
  <c r="AP174" i="9"/>
  <c r="AN174" i="8"/>
  <c r="F219" i="12"/>
  <c r="D221" i="12" s="1"/>
  <c r="D19" i="12" s="1"/>
  <c r="B24" i="12"/>
  <c r="J181" i="12"/>
  <c r="K183" i="12" s="1"/>
  <c r="F96" i="12"/>
  <c r="E16" i="12" l="1"/>
  <c r="D184" i="12"/>
  <c r="D16" i="12" s="1"/>
  <c r="F195" i="12"/>
  <c r="F210" i="12"/>
  <c r="F211" i="12" s="1"/>
  <c r="E18" i="12" s="1"/>
  <c r="F98" i="12"/>
  <c r="E15" i="12" s="1"/>
  <c r="D28" i="12"/>
  <c r="D30" i="12" s="1"/>
  <c r="D31" i="12" s="1"/>
  <c r="D32" i="12" s="1"/>
  <c r="D14" i="12" s="1"/>
  <c r="F196" i="12"/>
  <c r="E19" i="12"/>
  <c r="F197" i="12" l="1"/>
  <c r="D198" i="12" s="1"/>
  <c r="D17" i="12" s="1"/>
  <c r="D212" i="12"/>
  <c r="D18" i="12" s="1"/>
  <c r="D99" i="12"/>
  <c r="D15" i="12" s="1"/>
  <c r="E14" i="12"/>
  <c r="E17" i="12" l="1"/>
  <c r="D23" i="12"/>
</calcChain>
</file>

<file path=xl/sharedStrings.xml><?xml version="1.0" encoding="utf-8"?>
<sst xmlns="http://schemas.openxmlformats.org/spreadsheetml/2006/main" count="1695" uniqueCount="908">
  <si>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</si>
  <si>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</si>
  <si>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</si>
  <si>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</si>
  <si>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</si>
  <si>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</si>
  <si>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</si>
  <si>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</si>
  <si>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</si>
  <si>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</si>
  <si>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</si>
  <si>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</si>
  <si>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</si>
  <si>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</si>
  <si>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</si>
  <si>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</si>
  <si>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</si>
  <si>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</si>
  <si>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</si>
  <si>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</si>
  <si>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</si>
  <si>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</si>
  <si>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</si>
  <si>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</si>
  <si>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</si>
  <si>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</si>
  <si>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</si>
  <si>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</si>
  <si>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</si>
  <si>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</si>
  <si>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</si>
  <si>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</si>
  <si>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</si>
  <si>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</si>
  <si>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</si>
  <si>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</si>
  <si>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</si>
  <si>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</si>
  <si>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</si>
  <si>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</si>
  <si>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</si>
  <si>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</si>
  <si>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</si>
  <si>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</si>
  <si>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</si>
  <si>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</si>
  <si>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</si>
  <si>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</si>
  <si>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</si>
  <si>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</si>
  <si>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</si>
  <si>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</si>
  <si>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</si>
  <si>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</si>
  <si>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</si>
  <si>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</si>
  <si>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</si>
  <si>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</si>
  <si>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</si>
  <si>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</si>
  <si>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</si>
  <si>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</si>
  <si>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</si>
  <si>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</si>
  <si>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</si>
  <si>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</si>
  <si>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</si>
  <si>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</si>
  <si>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</si>
  <si>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</si>
  <si>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</si>
  <si>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</si>
  <si>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</si>
  <si>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</si>
  <si>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</si>
  <si>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</si>
  <si>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</si>
  <si>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</si>
  <si>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</si>
  <si>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</si>
  <si>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</si>
  <si>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</si>
  <si>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</si>
  <si>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</si>
  <si>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</si>
  <si>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</si>
  <si>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</si>
  <si>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</si>
  <si>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</si>
  <si>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</si>
  <si>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</si>
  <si>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</si>
  <si>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</si>
  <si>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</si>
  <si>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</si>
  <si>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</si>
  <si>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</si>
  <si>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</si>
  <si>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</si>
  <si>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</si>
  <si>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</si>
  <si>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</si>
  <si>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</si>
  <si>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</si>
  <si>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</si>
  <si>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</si>
  <si>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</si>
  <si>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</si>
  <si>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</si>
  <si>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</si>
  <si>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</si>
  <si>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</si>
  <si>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</si>
  <si>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</si>
  <si>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</si>
  <si>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</si>
  <si>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</si>
  <si>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</si>
  <si>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</si>
  <si>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</si>
  <si>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</si>
  <si>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</si>
  <si>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</si>
  <si>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</si>
  <si>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</si>
  <si>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</si>
  <si>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</si>
  <si>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</si>
  <si>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</si>
  <si>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</si>
  <si>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</si>
  <si>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</si>
  <si>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</si>
  <si>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</si>
  <si>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</si>
  <si>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</si>
  <si>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</si>
  <si>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</si>
  <si>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</si>
  <si>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</si>
  <si>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</si>
  <si>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</si>
  <si>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</si>
  <si>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</si>
  <si>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</si>
  <si>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</si>
  <si>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</si>
  <si>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</si>
  <si>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</si>
  <si>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</si>
  <si>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</si>
  <si>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</si>
  <si>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</si>
  <si>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</si>
  <si>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</si>
  <si>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</si>
  <si>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</si>
  <si>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</si>
  <si>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</si>
  <si>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</si>
  <si>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</si>
  <si>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</si>
  <si>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</si>
  <si>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</si>
  <si>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</si>
  <si>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</si>
  <si>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</si>
  <si>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</si>
  <si>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</si>
  <si>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</si>
  <si>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</si>
  <si>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</si>
  <si>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</si>
  <si>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</si>
  <si>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</si>
  <si>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</si>
  <si>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</si>
  <si>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</si>
  <si>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</si>
  <si>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</si>
  <si>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</si>
  <si>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</si>
  <si>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</si>
  <si>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</si>
  <si>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</si>
  <si>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</si>
  <si>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</si>
  <si>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</si>
  <si>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</si>
  <si>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</si>
  <si>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</si>
  <si>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</si>
  <si>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</si>
  <si>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</si>
  <si>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</si>
  <si>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</si>
  <si>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</si>
  <si>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</si>
  <si>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</si>
  <si>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</si>
  <si>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</si>
  <si>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</si>
  <si>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</si>
  <si>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</si>
  <si>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</si>
  <si>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</si>
  <si>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</si>
  <si>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</si>
  <si>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</si>
  <si>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</si>
  <si>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</si>
  <si>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</si>
  <si>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</si>
  <si>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</si>
  <si>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</si>
  <si>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</si>
  <si>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</si>
  <si>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</si>
  <si>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</si>
  <si>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</si>
  <si>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</si>
  <si>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</si>
  <si>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</si>
  <si>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</si>
  <si>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</si>
  <si>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</si>
  <si>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</si>
  <si>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</si>
  <si>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</si>
  <si>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</si>
  <si>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</si>
  <si>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</si>
  <si>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</si>
  <si>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</si>
  <si>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</si>
  <si>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</si>
  <si>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</si>
  <si>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</si>
  <si>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</si>
  <si>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</si>
  <si>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</si>
  <si>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</si>
  <si>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</si>
  <si>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</si>
  <si>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</si>
  <si>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</si>
  <si>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</si>
  <si>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</si>
  <si>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</si>
  <si>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</si>
  <si>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</si>
  <si>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</si>
  <si>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</si>
  <si>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</si>
  <si>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</si>
  <si>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</si>
  <si>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</si>
  <si>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</si>
  <si>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</si>
  <si>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</si>
  <si>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</si>
  <si>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</si>
  <si>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</si>
  <si>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</si>
  <si>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</si>
  <si>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</si>
  <si>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</si>
  <si>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</si>
  <si>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</si>
  <si>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</si>
  <si>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</si>
  <si>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</si>
  <si>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</si>
  <si>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</si>
  <si>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</si>
  <si>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</si>
  <si>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</si>
  <si>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</si>
  <si>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</si>
  <si>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</si>
  <si>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</si>
  <si>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</si>
  <si>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</si>
  <si>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</si>
  <si>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</si>
  <si>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</si>
  <si>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</si>
  <si>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</si>
  <si>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</si>
  <si>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</si>
  <si>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</si>
  <si>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</si>
  <si>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</si>
  <si>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</si>
  <si>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</si>
  <si>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</si>
  <si>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</si>
  <si>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</si>
  <si>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</si>
  <si>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</si>
  <si>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</si>
  <si>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</si>
  <si>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</si>
  <si>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</si>
  <si>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</si>
  <si>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</si>
  <si>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</si>
  <si>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</si>
  <si>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</si>
  <si>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</si>
  <si>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</si>
  <si>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</si>
  <si>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</si>
  <si>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</si>
  <si>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</si>
  <si>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</si>
  <si>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</si>
  <si>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</si>
  <si>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</si>
  <si>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</si>
  <si>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</si>
  <si>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</si>
  <si>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</si>
  <si>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</si>
  <si>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</si>
  <si>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</si>
  <si>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</si>
  <si>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</si>
  <si>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</si>
  <si>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</si>
  <si>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</si>
  <si>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</si>
  <si>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</si>
  <si>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</si>
  <si>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</si>
  <si>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</si>
  <si>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</si>
  <si>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</si>
  <si>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</si>
  <si>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</si>
  <si>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</si>
  <si>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</si>
  <si>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</si>
  <si>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</si>
  <si>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</si>
  <si>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</si>
  <si>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</si>
  <si>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</si>
  <si>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</si>
  <si>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</si>
  <si>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</si>
  <si>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</si>
  <si>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</si>
  <si>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</si>
  <si>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</si>
  <si>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</si>
  <si>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</si>
  <si>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</si>
  <si>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</si>
  <si>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</si>
  <si>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</si>
  <si>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</si>
  <si>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</si>
  <si>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</si>
  <si>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</si>
  <si>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</si>
  <si>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</si>
  <si>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</si>
  <si>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</si>
  <si>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</si>
  <si>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</si>
  <si>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</si>
  <si>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</si>
  <si>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</si>
  <si>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</si>
  <si>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</si>
  <si>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</si>
  <si>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</si>
  <si>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</si>
  <si>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</si>
  <si>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</si>
  <si>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</si>
  <si>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</si>
  <si>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</si>
  <si>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</si>
  <si>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</si>
  <si>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</si>
  <si>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</si>
  <si>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</si>
  <si>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</si>
  <si>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</si>
  <si>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</si>
  <si>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</si>
  <si>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</si>
  <si>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</si>
  <si>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</si>
  <si>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</si>
  <si>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</si>
  <si>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</si>
  <si>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</si>
  <si>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</si>
  <si>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</si>
  <si>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</si>
  <si>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</si>
  <si>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</si>
  <si>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</si>
  <si>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</si>
  <si>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</si>
  <si>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</si>
  <si>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</si>
  <si>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</si>
  <si>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</si>
  <si>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</si>
  <si>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</si>
  <si>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</si>
  <si>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</si>
  <si>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</si>
  <si>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</si>
  <si>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</si>
  <si>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</si>
  <si>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</si>
  <si>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</si>
  <si>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</si>
  <si>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</si>
  <si>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</si>
  <si>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</si>
  <si>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</si>
  <si>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</si>
  <si>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</si>
  <si>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</si>
  <si>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</si>
  <si>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</si>
  <si>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</si>
  <si>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</si>
  <si>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</si>
  <si>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</si>
  <si>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</si>
  <si>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</si>
  <si>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</si>
  <si>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</si>
  <si>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</si>
  <si>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</si>
  <si>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</si>
  <si>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</si>
  <si>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</si>
  <si>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</si>
  <si>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</si>
  <si>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</si>
  <si>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</si>
  <si>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</si>
  <si>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</si>
  <si>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</si>
  <si>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</si>
  <si>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</si>
  <si>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</si>
  <si>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</si>
  <si>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</si>
  <si>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</si>
  <si>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</si>
  <si>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</si>
  <si>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</si>
  <si>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</si>
  <si>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</si>
  <si>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</si>
  <si>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</si>
  <si>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</si>
  <si>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</si>
  <si>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</si>
  <si>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</si>
  <si>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</si>
  <si>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</si>
  <si>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</si>
  <si>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</si>
  <si>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</si>
  <si>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</si>
  <si>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</si>
  <si>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</si>
  <si>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</si>
  <si>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</si>
  <si>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</si>
  <si>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</si>
  <si>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</si>
  <si>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</si>
  <si>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</si>
  <si>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</si>
  <si>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</si>
  <si>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</si>
  <si>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</si>
  <si>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</si>
  <si>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</si>
  <si>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</si>
  <si>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</si>
  <si>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</si>
  <si>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</si>
  <si>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</si>
  <si>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</si>
  <si>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</si>
  <si>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</si>
  <si>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</si>
  <si>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</si>
  <si>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</si>
  <si>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</si>
  <si>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</si>
  <si>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</si>
  <si>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</si>
  <si>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</si>
  <si>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</si>
  <si>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</si>
  <si>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</si>
  <si>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</si>
  <si>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</si>
  <si>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</si>
  <si>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</si>
  <si>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</si>
  <si>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</si>
  <si>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</si>
  <si>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</si>
  <si>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</si>
  <si>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</si>
  <si>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</si>
  <si>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</si>
  <si>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</si>
  <si>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</si>
  <si>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</si>
  <si>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</si>
  <si>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</si>
  <si>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</si>
  <si>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</si>
  <si>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</si>
  <si>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</si>
  <si>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</si>
  <si>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</si>
  <si>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</si>
  <si>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</si>
  <si>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</si>
  <si>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</si>
  <si>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</si>
  <si>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</si>
  <si>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</si>
  <si>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</si>
  <si>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</si>
  <si>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</si>
  <si>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</si>
  <si>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</si>
  <si>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</si>
  <si>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</si>
  <si>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</si>
  <si>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</si>
  <si>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</si>
  <si>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</si>
  <si>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</si>
  <si>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</si>
  <si>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</si>
  <si>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</si>
  <si>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</si>
  <si>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</si>
  <si>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</si>
  <si>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</si>
  <si>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</si>
  <si>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</si>
  <si>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</si>
  <si>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</si>
  <si>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</si>
  <si>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</si>
  <si>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</si>
  <si>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</si>
  <si>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</si>
  <si>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</si>
  <si>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</si>
  <si>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</si>
  <si>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</si>
  <si>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</si>
  <si>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</si>
  <si>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</si>
  <si>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</si>
  <si>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</si>
  <si>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</si>
  <si>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</si>
  <si>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</si>
  <si>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</si>
  <si>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</si>
  <si>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</si>
  <si>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</si>
  <si>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</si>
  <si>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</si>
  <si>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</si>
  <si>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</si>
  <si>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</si>
  <si>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</si>
  <si>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</si>
  <si>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</si>
  <si>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</si>
  <si>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</si>
  <si>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</si>
  <si>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</si>
  <si>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</si>
  <si>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</si>
  <si>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</si>
  <si>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</si>
  <si>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</si>
  <si>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</si>
  <si>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</si>
  <si>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</si>
  <si>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</si>
  <si>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</si>
  <si>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</si>
  <si>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</si>
  <si>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</si>
  <si>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</si>
  <si>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</si>
  <si>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</si>
  <si>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</si>
  <si>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</si>
  <si>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</si>
  <si>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</si>
  <si>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</si>
  <si>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</si>
  <si>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</si>
  <si>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</si>
  <si>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</si>
  <si>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</si>
  <si>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</si>
  <si>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</si>
  <si>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</si>
  <si>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</si>
  <si>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</si>
  <si>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</si>
  <si>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</si>
  <si>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</si>
  <si>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</si>
  <si>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</si>
  <si>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</si>
  <si>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</si>
  <si>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</si>
  <si>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</si>
  <si>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</si>
  <si>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</si>
  <si>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</si>
  <si>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</si>
  <si>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</si>
  <si>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</si>
  <si>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</si>
  <si>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</si>
  <si>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</si>
  <si>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</si>
  <si>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</si>
  <si>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</si>
  <si>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</si>
  <si>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</si>
  <si>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</si>
  <si>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</si>
  <si>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</si>
  <si>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</si>
  <si>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</si>
  <si>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</si>
  <si>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</si>
  <si>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</si>
  <si>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</si>
  <si>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</si>
  <si>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</si>
  <si>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</si>
  <si>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</si>
  <si>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</si>
  <si>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</si>
  <si>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</si>
  <si>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</si>
  <si>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</si>
  <si>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</si>
  <si>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</si>
  <si>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</si>
  <si>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</si>
  <si>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</si>
  <si>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</si>
  <si>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</si>
  <si>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</si>
  <si>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</si>
  <si>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</si>
  <si>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</si>
  <si>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</si>
  <si>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</si>
  <si>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</si>
  <si>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</si>
  <si>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</si>
  <si>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</si>
  <si>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</si>
  <si>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</si>
  <si>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</si>
  <si>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</si>
  <si>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</si>
  <si>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</si>
  <si>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</si>
  <si>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</si>
  <si>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</si>
  <si>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</si>
  <si>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</si>
  <si>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</si>
  <si>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</si>
  <si>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</si>
  <si>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</si>
  <si>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</si>
  <si>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</si>
  <si>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</si>
  <si>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</si>
  <si>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</si>
  <si>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</si>
  <si>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</si>
  <si>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</si>
  <si>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</si>
  <si>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</si>
  <si>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</si>
  <si>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</si>
  <si>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</si>
  <si>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</si>
  <si>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</si>
  <si>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</si>
  <si>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</si>
  <si>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</si>
  <si>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</si>
  <si>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</si>
  <si>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</si>
  <si>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</si>
  <si>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</si>
  <si>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</si>
  <si>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</si>
  <si>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</si>
  <si>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</si>
  <si>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</si>
  <si>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</si>
  <si>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</si>
  <si>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</si>
  <si>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</si>
  <si>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</si>
  <si>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</si>
  <si>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</si>
  <si>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</si>
  <si>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</si>
  <si>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</si>
  <si>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</si>
  <si>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</si>
  <si>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</si>
  <si>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</si>
  <si>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</si>
  <si>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</si>
  <si>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</si>
  <si>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</si>
  <si>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</si>
  <si>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</si>
  <si>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</si>
  <si>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</si>
  <si>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</si>
  <si>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</si>
  <si>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</si>
  <si>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</si>
  <si>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</si>
  <si>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</si>
  <si>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</si>
  <si>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</si>
  <si>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</si>
  <si>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</si>
  <si>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</si>
  <si>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</si>
  <si>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</si>
  <si>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</si>
  <si>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</si>
  <si>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</si>
  <si>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</si>
  <si>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</si>
  <si>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</si>
  <si>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</si>
  <si>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</si>
  <si>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</si>
  <si>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</si>
  <si>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</si>
  <si>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</si>
  <si>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</si>
  <si>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</si>
  <si>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</si>
  <si>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</si>
  <si>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</si>
  <si>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</si>
  <si>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</si>
  <si>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</si>
  <si>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</si>
  <si>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</si>
  <si>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</si>
  <si>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</si>
  <si>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</si>
  <si>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</si>
  <si>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</si>
  <si>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</si>
  <si>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</si>
  <si>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</si>
  <si>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</si>
  <si>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</si>
  <si>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</si>
  <si>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</si>
  <si>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</si>
  <si>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</si>
  <si>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</si>
  <si>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</si>
  <si>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</si>
  <si>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</si>
  <si>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</si>
  <si>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</si>
  <si>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</si>
  <si>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</si>
  <si>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</si>
  <si>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</si>
  <si>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</si>
  <si>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</si>
  <si>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</si>
  <si>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</si>
  <si>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</si>
  <si>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</si>
  <si>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</si>
  <si>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</si>
  <si>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</si>
  <si>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</si>
  <si>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</si>
  <si>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</si>
  <si>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</si>
  <si>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</si>
  <si>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</si>
  <si>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</si>
  <si>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</si>
  <si>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</si>
  <si>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</si>
  <si>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</si>
  <si>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</si>
  <si>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</si>
  <si>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</si>
  <si>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</si>
  <si>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</si>
  <si>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</si>
  <si>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</si>
  <si>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</si>
  <si>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</si>
  <si>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</si>
  <si>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</si>
  <si>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</si>
  <si>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</si>
  <si>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</si>
  <si>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</si>
  <si>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</si>
  <si>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</si>
  <si>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</si>
  <si>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</si>
  <si>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</si>
  <si>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</si>
  <si>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</si>
  <si>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</si>
  <si>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</si>
  <si>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</si>
  <si>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</si>
  <si>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</si>
  <si>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</si>
  <si>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</si>
  <si>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</si>
  <si>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</si>
  <si>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</si>
  <si>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</si>
  <si>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</si>
  <si>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</si>
  <si>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</si>
  <si>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</si>
  <si>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</si>
  <si>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</si>
  <si>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</si>
  <si>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</si>
  <si>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</si>
  <si>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</si>
  <si>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</si>
  <si>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</si>
  <si>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</si>
  <si>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</si>
  <si>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</si>
  <si>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</si>
  <si>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</si>
  <si>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</si>
  <si>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</si>
  <si>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</si>
  <si>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</si>
  <si>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</si>
  <si>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</si>
  <si>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</si>
  <si>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</si>
  <si>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</si>
  <si>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</si>
  <si>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</si>
  <si>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</si>
  <si>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</si>
  <si>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</si>
  <si>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</si>
  <si>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</si>
  <si>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</si>
  <si>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</si>
  <si>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</si>
  <si>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</si>
  <si>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</si>
  <si>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</si>
  <si>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</si>
  <si>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0011</t>
  </si>
  <si>
    <t>Provincie Limburg</t>
  </si>
  <si>
    <t>J.H.W. Crol</t>
  </si>
  <si>
    <t>Financien</t>
  </si>
  <si>
    <t>Senior Financiele Administratie</t>
  </si>
  <si>
    <t>06-11586769</t>
  </si>
  <si>
    <t>jhw.crol@prvlimburg.nl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</si>
</sst>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83">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2" fillId="3" borderId="78" xfId="22" applyFont="1" applyFill="1" applyBorder="1" applyAlignment="1" applyProtection="1">
      <alignment horizontal="right" vertical="center"/>
      <protection locked="0"/>
    </xf>
    <xf numFmtId="0" fontId="32" fillId="0" borderId="2" xfId="22" applyFont="1" applyFill="1" applyBorder="1" applyAlignment="1" applyProtection="1">
      <alignment horizontal="right" vertical="center"/>
      <protection locked="0"/>
    </xf>
    <xf numFmtId="0" fontId="32" fillId="0" borderId="77" xfId="22" applyFont="1" applyFill="1" applyBorder="1" applyAlignment="1" applyProtection="1">
      <alignment horizontal="right" vertical="center"/>
      <protection locked="0"/>
    </xf>
    <xf numFmtId="0" fontId="32" fillId="0" borderId="28" xfId="22"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3" fillId="0" borderId="17" xfId="22" applyFont="1" applyFill="1" applyBorder="1" applyAlignment="1">
      <alignment vertical="center"/>
    </xf>
    <xf numFmtId="0" fontId="33"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0" fontId="0" fillId="0" borderId="0" xfId="0" applyAlignment="1">
      <alignment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13" fillId="0" borderId="61" xfId="11" applyBorder="1" applyAlignment="1" applyProtection="1">
      <alignment horizontal="center"/>
      <protection locked="0"/>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hw.crol@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0" t="s">
        <v>873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06" t="s">
        <v>866</v>
      </c>
    </row>
    <row r="14" spans="1:6" ht="99" customHeight="1" x14ac:dyDescent="0.2">
      <c r="A14" s="9"/>
      <c r="B14" s="351" t="s">
        <v>647</v>
      </c>
    </row>
    <row r="15" spans="1:6" ht="53.25" customHeight="1" x14ac:dyDescent="0.2">
      <c r="B15" s="255" t="s">
        <v>648</v>
      </c>
    </row>
    <row r="16" spans="1:6" ht="24.75" customHeight="1" x14ac:dyDescent="0.2">
      <c r="A16" s="9"/>
      <c r="B16" s="384"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4"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13" sqref="A13"/>
    </sheetView>
  </sheetViews>
  <sheetFormatPr defaultColWidth="9.140625"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651</v>
      </c>
      <c r="B3" s="257"/>
    </row>
    <row r="4" spans="1:2" ht="15" customHeight="1" x14ac:dyDescent="0.25">
      <c r="A4" s="258" t="s">
        <v>649</v>
      </c>
      <c r="B4" s="259"/>
    </row>
    <row r="5" spans="1:2" ht="15" customHeight="1" x14ac:dyDescent="0.25">
      <c r="A5" s="258" t="s">
        <v>650</v>
      </c>
      <c r="B5" s="368"/>
    </row>
    <row r="6" spans="1:2" ht="15" x14ac:dyDescent="0.25">
      <c r="A6" s="258" t="s">
        <v>489</v>
      </c>
      <c r="B6" s="259"/>
    </row>
    <row r="7" spans="1:2" ht="15" x14ac:dyDescent="0.25">
      <c r="A7" s="258" t="s">
        <v>490</v>
      </c>
      <c r="B7" s="259"/>
    </row>
    <row r="8" spans="1:2" x14ac:dyDescent="0.2">
      <c r="A8" s="253"/>
    </row>
    <row r="9" spans="1:2" ht="46.5" customHeight="1" x14ac:dyDescent="0.2">
      <c r="A9" s="349" t="s">
        <v>595</v>
      </c>
    </row>
    <row r="10" spans="1:2" ht="7.5" customHeight="1" x14ac:dyDescent="0.2">
      <c r="A10" s="349"/>
    </row>
    <row r="11" spans="1:2" ht="38.25" customHeight="1" x14ac:dyDescent="0.25">
      <c r="A11" s="350" t="s">
        <v>897</v>
      </c>
      <c r="B11" s="259"/>
    </row>
    <row r="12" spans="1:2" ht="38.25" customHeight="1" x14ac:dyDescent="0.25">
      <c r="A12" s="350" t="s">
        <v>898</v>
      </c>
      <c r="B12" s="442"/>
    </row>
    <row r="13" spans="1:2" x14ac:dyDescent="0.2">
      <c r="A13" s="17" t="s">
        <v>708</v>
      </c>
    </row>
    <row r="14" spans="1:2" ht="28.5" customHeight="1" x14ac:dyDescent="0.2">
      <c r="A14" s="445" t="s">
        <v>899</v>
      </c>
    </row>
    <row r="15" spans="1:2" ht="31.5" customHeight="1" x14ac:dyDescent="0.2">
      <c r="A15" s="17" t="s">
        <v>900</v>
      </c>
    </row>
    <row r="16" spans="1:2" ht="31.5" customHeight="1" x14ac:dyDescent="0.2">
      <c r="A16" s="17"/>
    </row>
    <row r="17" spans="1:2" ht="45" customHeight="1" x14ac:dyDescent="0.25">
      <c r="A17" s="440" t="s">
        <v>653</v>
      </c>
    </row>
    <row r="18" spans="1:2" ht="8.25" customHeight="1" x14ac:dyDescent="0.25">
      <c r="A18" s="18"/>
    </row>
    <row r="19" spans="1:2" ht="26.25" customHeight="1" x14ac:dyDescent="0.25">
      <c r="A19" s="261" t="s">
        <v>13</v>
      </c>
    </row>
    <row r="20" spans="1:2" ht="45" customHeight="1" x14ac:dyDescent="0.25">
      <c r="A20" s="260" t="s">
        <v>491</v>
      </c>
      <c r="B20" s="257"/>
    </row>
    <row r="21" spans="1:2" ht="7.5" customHeight="1" x14ac:dyDescent="0.25">
      <c r="A21" s="19"/>
    </row>
    <row r="22" spans="1:2" ht="54" customHeight="1" x14ac:dyDescent="0.25">
      <c r="A22" s="262" t="s">
        <v>652</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712</v>
      </c>
    </row>
    <row r="32" spans="1:2" x14ac:dyDescent="0.25">
      <c r="A32" s="22" t="s">
        <v>713</v>
      </c>
    </row>
    <row r="33" spans="1:1" x14ac:dyDescent="0.25">
      <c r="A33" s="22" t="s">
        <v>714</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715</v>
      </c>
    </row>
    <row r="39" spans="1:1" s="330" customFormat="1" ht="13.5" customHeight="1" x14ac:dyDescent="0.25">
      <c r="A39" s="39" t="s">
        <v>492</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58" zoomScaleNormal="100" zoomScaleSheetLayoutView="100" workbookViewId="0">
      <selection activeCell="E119" sqref="E118:E119"/>
    </sheetView>
  </sheetViews>
  <sheetFormatPr defaultColWidth="9.140625"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63" t="s">
        <v>23</v>
      </c>
      <c r="B1" s="461"/>
      <c r="C1" s="461"/>
      <c r="D1" s="461"/>
    </row>
    <row r="2" spans="1:9" ht="7.5" customHeight="1" x14ac:dyDescent="0.25">
      <c r="A2" s="464"/>
      <c r="B2" s="461"/>
      <c r="C2" s="461"/>
      <c r="D2" s="461"/>
    </row>
    <row r="3" spans="1:9" ht="47.25" customHeight="1" x14ac:dyDescent="0.25">
      <c r="A3" s="462" t="s">
        <v>656</v>
      </c>
      <c r="B3" s="465"/>
      <c r="C3" s="465"/>
      <c r="D3" s="465"/>
    </row>
    <row r="4" spans="1:9" ht="7.5" customHeight="1" x14ac:dyDescent="0.25">
      <c r="A4" s="24"/>
      <c r="B4" s="31"/>
      <c r="C4" s="31"/>
      <c r="D4" s="31"/>
    </row>
    <row r="5" spans="1:9" ht="25.5" customHeight="1" x14ac:dyDescent="0.25">
      <c r="A5" s="32" t="s">
        <v>24</v>
      </c>
      <c r="B5" s="466" t="s">
        <v>25</v>
      </c>
      <c r="C5" s="466"/>
      <c r="D5" s="466"/>
      <c r="F5" s="460"/>
      <c r="G5" s="465"/>
      <c r="H5" s="465"/>
      <c r="I5" s="465"/>
    </row>
    <row r="6" spans="1:9" ht="38.25" customHeight="1" x14ac:dyDescent="0.25">
      <c r="A6" s="32" t="s">
        <v>24</v>
      </c>
      <c r="B6" s="466" t="s">
        <v>26</v>
      </c>
      <c r="C6" s="465"/>
      <c r="D6" s="465"/>
    </row>
    <row r="7" spans="1:9" ht="25.5" customHeight="1" x14ac:dyDescent="0.25">
      <c r="A7" s="32" t="s">
        <v>24</v>
      </c>
      <c r="B7" s="466" t="s">
        <v>27</v>
      </c>
      <c r="C7" s="465"/>
      <c r="D7" s="465"/>
    </row>
    <row r="8" spans="1:9" ht="7.5" customHeight="1" x14ac:dyDescent="0.25">
      <c r="A8" s="32"/>
      <c r="B8" s="33"/>
      <c r="C8" s="31"/>
      <c r="D8" s="31"/>
    </row>
    <row r="9" spans="1:9" ht="25.5" customHeight="1" x14ac:dyDescent="0.2">
      <c r="A9" s="467" t="s">
        <v>617</v>
      </c>
      <c r="B9" s="468"/>
      <c r="C9" s="468"/>
      <c r="D9" s="468"/>
    </row>
    <row r="10" spans="1:9" ht="7.5" customHeight="1" x14ac:dyDescent="0.2">
      <c r="A10" s="34"/>
      <c r="B10" s="35"/>
      <c r="C10" s="35"/>
      <c r="D10" s="35"/>
    </row>
    <row r="11" spans="1:9" ht="38.25" customHeight="1" x14ac:dyDescent="0.25">
      <c r="A11" s="460" t="s">
        <v>28</v>
      </c>
      <c r="B11" s="465"/>
      <c r="C11" s="465"/>
      <c r="D11" s="465"/>
    </row>
    <row r="12" spans="1:9" ht="12.75" x14ac:dyDescent="0.25">
      <c r="A12" s="460" t="s">
        <v>657</v>
      </c>
      <c r="B12" s="465"/>
      <c r="C12" s="465"/>
      <c r="D12" s="465"/>
    </row>
    <row r="13" spans="1:9" ht="7.5" customHeight="1" x14ac:dyDescent="0.25">
      <c r="A13" s="460"/>
      <c r="B13" s="461"/>
      <c r="C13" s="461"/>
      <c r="D13" s="461"/>
    </row>
    <row r="14" spans="1:9" s="15" customFormat="1" ht="25.5" customHeight="1" x14ac:dyDescent="0.25">
      <c r="A14" s="462" t="s">
        <v>658</v>
      </c>
      <c r="B14" s="461"/>
      <c r="C14" s="461"/>
      <c r="D14" s="461"/>
    </row>
    <row r="15" spans="1:9" s="15" customFormat="1" ht="12.75" x14ac:dyDescent="0.25">
      <c r="A15" s="32" t="s">
        <v>24</v>
      </c>
      <c r="B15" s="466" t="s">
        <v>29</v>
      </c>
      <c r="C15" s="466"/>
      <c r="D15" s="466"/>
    </row>
    <row r="16" spans="1:9" ht="12.75" x14ac:dyDescent="0.25">
      <c r="A16" s="32" t="s">
        <v>24</v>
      </c>
      <c r="B16" s="466" t="s">
        <v>30</v>
      </c>
      <c r="C16" s="466"/>
      <c r="D16" s="466"/>
    </row>
    <row r="17" spans="1:4" ht="12.75" x14ac:dyDescent="0.25">
      <c r="A17" s="32" t="s">
        <v>24</v>
      </c>
      <c r="B17" s="466" t="s">
        <v>31</v>
      </c>
      <c r="C17" s="466"/>
      <c r="D17" s="466"/>
    </row>
    <row r="18" spans="1:4" ht="7.5" customHeight="1" x14ac:dyDescent="0.25">
      <c r="A18" s="32"/>
      <c r="B18" s="33"/>
      <c r="C18" s="33"/>
      <c r="D18" s="33"/>
    </row>
    <row r="19" spans="1:4" ht="25.5" customHeight="1" x14ac:dyDescent="0.25">
      <c r="A19" s="460" t="s">
        <v>659</v>
      </c>
      <c r="B19" s="461"/>
      <c r="C19" s="461"/>
      <c r="D19" s="461"/>
    </row>
    <row r="20" spans="1:4" ht="7.5" customHeight="1" x14ac:dyDescent="0.25">
      <c r="A20" s="464"/>
      <c r="B20" s="461"/>
      <c r="C20" s="461"/>
      <c r="D20" s="461"/>
    </row>
    <row r="21" spans="1:4" ht="25.5" customHeight="1" x14ac:dyDescent="0.25">
      <c r="A21" s="460" t="s">
        <v>710</v>
      </c>
      <c r="B21" s="461"/>
      <c r="C21" s="461"/>
      <c r="D21" s="461"/>
    </row>
    <row r="22" spans="1:4" ht="7.5" customHeight="1" x14ac:dyDescent="0.25">
      <c r="A22" s="36"/>
      <c r="B22" s="37"/>
      <c r="C22" s="37"/>
      <c r="D22" s="37"/>
    </row>
    <row r="23" spans="1:4" ht="25.5" customHeight="1" x14ac:dyDescent="0.25">
      <c r="A23" s="462" t="s">
        <v>32</v>
      </c>
      <c r="B23" s="461"/>
      <c r="C23" s="461"/>
      <c r="D23" s="461"/>
    </row>
    <row r="24" spans="1:4" ht="7.5" customHeight="1" x14ac:dyDescent="0.25">
      <c r="A24" s="464"/>
      <c r="B24" s="461"/>
      <c r="C24" s="461"/>
      <c r="D24" s="461"/>
    </row>
    <row r="25" spans="1:4" ht="12.75" customHeight="1" x14ac:dyDescent="0.25">
      <c r="A25" s="479" t="s">
        <v>596</v>
      </c>
      <c r="B25" s="479"/>
      <c r="C25" s="339" t="s">
        <v>15</v>
      </c>
      <c r="D25" s="340"/>
    </row>
    <row r="26" spans="1:4" ht="9.75" customHeight="1" x14ac:dyDescent="0.25">
      <c r="A26" s="462"/>
      <c r="B26" s="461"/>
      <c r="C26" s="461"/>
      <c r="D26" s="461"/>
    </row>
    <row r="27" spans="1:4" s="38" customFormat="1" ht="15" customHeight="1" x14ac:dyDescent="0.25">
      <c r="A27" s="463" t="s">
        <v>33</v>
      </c>
      <c r="B27" s="461"/>
      <c r="C27" s="461"/>
      <c r="D27" s="461"/>
    </row>
    <row r="28" spans="1:4" s="38" customFormat="1" ht="7.5" customHeight="1" x14ac:dyDescent="0.25">
      <c r="A28" s="478"/>
      <c r="B28" s="461"/>
      <c r="C28" s="461"/>
      <c r="D28" s="461"/>
    </row>
    <row r="29" spans="1:4" s="38" customFormat="1" ht="63.75" customHeight="1" x14ac:dyDescent="0.25">
      <c r="A29" s="469" t="s">
        <v>660</v>
      </c>
      <c r="B29" s="461"/>
      <c r="C29" s="461"/>
      <c r="D29" s="461"/>
    </row>
    <row r="30" spans="1:4" s="38" customFormat="1" ht="9.75" customHeight="1" x14ac:dyDescent="0.25">
      <c r="A30" s="469"/>
      <c r="B30" s="461"/>
      <c r="C30" s="461"/>
      <c r="D30" s="461"/>
    </row>
    <row r="31" spans="1:4" s="38" customFormat="1" ht="19.5" customHeight="1" x14ac:dyDescent="0.25">
      <c r="A31" s="451" t="s">
        <v>631</v>
      </c>
      <c r="B31" s="452"/>
      <c r="C31" s="452"/>
      <c r="D31" s="452"/>
    </row>
    <row r="32" spans="1:4" s="38" customFormat="1" ht="4.5" customHeight="1" x14ac:dyDescent="0.25">
      <c r="A32" s="365"/>
      <c r="B32" s="362"/>
      <c r="C32" s="362"/>
      <c r="D32" s="362"/>
    </row>
    <row r="33" spans="1:4" s="38" customFormat="1" ht="15" x14ac:dyDescent="0.25">
      <c r="A33" s="459" t="s">
        <v>632</v>
      </c>
      <c r="B33" s="452"/>
      <c r="C33" s="452"/>
      <c r="D33" s="452"/>
    </row>
    <row r="34" spans="1:4" s="38" customFormat="1" ht="15" x14ac:dyDescent="0.25">
      <c r="A34" s="377" t="s">
        <v>24</v>
      </c>
      <c r="B34" s="470" t="s">
        <v>633</v>
      </c>
      <c r="C34" s="452"/>
      <c r="D34" s="452"/>
    </row>
    <row r="35" spans="1:4" s="38" customFormat="1" ht="12.75" customHeight="1" x14ac:dyDescent="0.25">
      <c r="A35" s="377"/>
      <c r="B35" s="476" t="s">
        <v>868</v>
      </c>
      <c r="C35" s="477"/>
      <c r="D35" s="477"/>
    </row>
    <row r="36" spans="1:4" s="38" customFormat="1" ht="15" x14ac:dyDescent="0.25">
      <c r="A36" s="377" t="s">
        <v>24</v>
      </c>
      <c r="B36" s="470" t="s">
        <v>633</v>
      </c>
      <c r="C36" s="452"/>
      <c r="D36" s="452"/>
    </row>
    <row r="37" spans="1:4" s="38" customFormat="1" ht="15" x14ac:dyDescent="0.25">
      <c r="A37" s="377"/>
      <c r="B37" s="437" t="s">
        <v>661</v>
      </c>
      <c r="C37" s="367"/>
      <c r="D37" s="367"/>
    </row>
    <row r="38" spans="1:4" s="38" customFormat="1" ht="15" x14ac:dyDescent="0.25">
      <c r="A38" s="377" t="s">
        <v>24</v>
      </c>
      <c r="B38" s="470" t="s">
        <v>634</v>
      </c>
      <c r="C38" s="457"/>
      <c r="D38" s="457"/>
    </row>
    <row r="39" spans="1:4" s="38" customFormat="1" ht="15" x14ac:dyDescent="0.25">
      <c r="A39" s="378"/>
      <c r="B39" s="471" t="s">
        <v>635</v>
      </c>
      <c r="C39" s="472"/>
      <c r="D39" s="472"/>
    </row>
    <row r="40" spans="1:4" s="38" customFormat="1" ht="15" x14ac:dyDescent="0.25">
      <c r="A40" s="379" t="s">
        <v>24</v>
      </c>
      <c r="B40" s="470" t="s">
        <v>687</v>
      </c>
      <c r="C40" s="457"/>
      <c r="D40" s="457"/>
    </row>
    <row r="41" spans="1:4" s="38" customFormat="1" ht="15" x14ac:dyDescent="0.25">
      <c r="A41" s="378"/>
      <c r="B41" s="403" t="s">
        <v>686</v>
      </c>
      <c r="C41" s="397"/>
      <c r="D41" s="397"/>
    </row>
    <row r="42" spans="1:4" s="38" customFormat="1" ht="27" customHeight="1" x14ac:dyDescent="0.25">
      <c r="A42" s="379" t="s">
        <v>24</v>
      </c>
      <c r="B42" s="473" t="s">
        <v>636</v>
      </c>
      <c r="C42" s="474"/>
      <c r="D42" s="474"/>
    </row>
    <row r="43" spans="1:4" s="38" customFormat="1" ht="15" x14ac:dyDescent="0.25">
      <c r="A43" s="378"/>
      <c r="B43" s="475" t="s">
        <v>637</v>
      </c>
      <c r="C43" s="475"/>
      <c r="D43" s="475"/>
    </row>
    <row r="44" spans="1:4" s="38" customFormat="1" ht="15" x14ac:dyDescent="0.25">
      <c r="A44" s="379" t="s">
        <v>24</v>
      </c>
      <c r="B44" s="459" t="s">
        <v>638</v>
      </c>
      <c r="C44" s="474"/>
      <c r="D44" s="474"/>
    </row>
    <row r="45" spans="1:4" s="38" customFormat="1" ht="15" x14ac:dyDescent="0.25">
      <c r="A45" s="379"/>
      <c r="B45" s="380" t="s">
        <v>639</v>
      </c>
      <c r="C45" s="359"/>
      <c r="D45" s="359"/>
    </row>
    <row r="46" spans="1:4" s="38" customFormat="1" ht="9.75" customHeight="1" x14ac:dyDescent="0.25">
      <c r="A46" s="363"/>
      <c r="B46" s="362"/>
      <c r="C46" s="362"/>
      <c r="D46" s="362"/>
    </row>
    <row r="47" spans="1:4" s="38" customFormat="1" ht="15" customHeight="1" x14ac:dyDescent="0.25">
      <c r="A47" s="463" t="s">
        <v>34</v>
      </c>
      <c r="B47" s="461"/>
      <c r="C47" s="461"/>
      <c r="D47" s="461"/>
    </row>
    <row r="48" spans="1:4" s="38" customFormat="1" ht="7.5" customHeight="1" x14ac:dyDescent="0.25">
      <c r="A48" s="39"/>
      <c r="B48" s="37"/>
      <c r="C48" s="37"/>
      <c r="D48" s="37"/>
    </row>
    <row r="49" spans="1:256" s="38" customFormat="1" ht="89.25" customHeight="1" x14ac:dyDescent="0.25">
      <c r="A49" s="466" t="s">
        <v>662</v>
      </c>
      <c r="B49" s="461"/>
      <c r="C49" s="461"/>
      <c r="D49" s="461"/>
      <c r="E49" s="466"/>
      <c r="F49" s="461"/>
      <c r="G49" s="461"/>
      <c r="H49" s="461"/>
      <c r="I49" s="466"/>
      <c r="J49" s="461"/>
      <c r="K49" s="461"/>
      <c r="L49" s="461"/>
      <c r="M49" s="466"/>
      <c r="N49" s="461"/>
      <c r="O49" s="461"/>
      <c r="P49" s="461"/>
      <c r="Q49" s="466"/>
      <c r="R49" s="461"/>
      <c r="S49" s="461"/>
      <c r="T49" s="461"/>
      <c r="U49" s="466"/>
      <c r="V49" s="461"/>
      <c r="W49" s="461"/>
      <c r="X49" s="461"/>
      <c r="Y49" s="466"/>
      <c r="Z49" s="461"/>
      <c r="AA49" s="461"/>
      <c r="AB49" s="461"/>
      <c r="AC49" s="466"/>
      <c r="AD49" s="461"/>
      <c r="AE49" s="461"/>
      <c r="AF49" s="461"/>
      <c r="AG49" s="466"/>
      <c r="AH49" s="461"/>
      <c r="AI49" s="461"/>
      <c r="AJ49" s="461"/>
      <c r="AK49" s="466"/>
      <c r="AL49" s="461"/>
      <c r="AM49" s="461"/>
      <c r="AN49" s="461"/>
      <c r="AO49" s="466"/>
      <c r="AP49" s="461"/>
      <c r="AQ49" s="461"/>
      <c r="AR49" s="461"/>
      <c r="AS49" s="466"/>
      <c r="AT49" s="461"/>
      <c r="AU49" s="461"/>
      <c r="AV49" s="461"/>
      <c r="AW49" s="466"/>
      <c r="AX49" s="461"/>
      <c r="AY49" s="461"/>
      <c r="AZ49" s="461"/>
      <c r="BA49" s="466"/>
      <c r="BB49" s="461"/>
      <c r="BC49" s="461"/>
      <c r="BD49" s="461"/>
      <c r="BE49" s="466"/>
      <c r="BF49" s="461"/>
      <c r="BG49" s="461"/>
      <c r="BH49" s="461"/>
      <c r="BI49" s="466"/>
      <c r="BJ49" s="461"/>
      <c r="BK49" s="461"/>
      <c r="BL49" s="461"/>
      <c r="BM49" s="466"/>
      <c r="BN49" s="461"/>
      <c r="BO49" s="461"/>
      <c r="BP49" s="461"/>
      <c r="BQ49" s="466"/>
      <c r="BR49" s="461"/>
      <c r="BS49" s="461"/>
      <c r="BT49" s="461"/>
      <c r="BU49" s="466"/>
      <c r="BV49" s="461"/>
      <c r="BW49" s="461"/>
      <c r="BX49" s="461"/>
      <c r="BY49" s="466"/>
      <c r="BZ49" s="461"/>
      <c r="CA49" s="461"/>
      <c r="CB49" s="461"/>
      <c r="CC49" s="466"/>
      <c r="CD49" s="461"/>
      <c r="CE49" s="461"/>
      <c r="CF49" s="461"/>
      <c r="CG49" s="466"/>
      <c r="CH49" s="461"/>
      <c r="CI49" s="461"/>
      <c r="CJ49" s="461"/>
      <c r="CK49" s="466"/>
      <c r="CL49" s="461"/>
      <c r="CM49" s="461"/>
      <c r="CN49" s="461"/>
      <c r="CO49" s="466"/>
      <c r="CP49" s="461"/>
      <c r="CQ49" s="461"/>
      <c r="CR49" s="461"/>
      <c r="CS49" s="466"/>
      <c r="CT49" s="461"/>
      <c r="CU49" s="461"/>
      <c r="CV49" s="461"/>
      <c r="CW49" s="466"/>
      <c r="CX49" s="461"/>
      <c r="CY49" s="461"/>
      <c r="CZ49" s="461"/>
      <c r="DA49" s="466"/>
      <c r="DB49" s="461"/>
      <c r="DC49" s="461"/>
      <c r="DD49" s="461"/>
      <c r="DE49" s="466"/>
      <c r="DF49" s="461"/>
      <c r="DG49" s="461"/>
      <c r="DH49" s="461"/>
      <c r="DI49" s="466"/>
      <c r="DJ49" s="461"/>
      <c r="DK49" s="461"/>
      <c r="DL49" s="461"/>
      <c r="DM49" s="466"/>
      <c r="DN49" s="461"/>
      <c r="DO49" s="461"/>
      <c r="DP49" s="461"/>
      <c r="DQ49" s="466"/>
      <c r="DR49" s="461"/>
      <c r="DS49" s="461"/>
      <c r="DT49" s="461"/>
      <c r="DU49" s="466"/>
      <c r="DV49" s="461"/>
      <c r="DW49" s="461"/>
      <c r="DX49" s="461"/>
      <c r="DY49" s="466"/>
      <c r="DZ49" s="461"/>
      <c r="EA49" s="461"/>
      <c r="EB49" s="461"/>
      <c r="EC49" s="466"/>
      <c r="ED49" s="461"/>
      <c r="EE49" s="461"/>
      <c r="EF49" s="461"/>
      <c r="EG49" s="466"/>
      <c r="EH49" s="461"/>
      <c r="EI49" s="461"/>
      <c r="EJ49" s="461"/>
      <c r="EK49" s="466"/>
      <c r="EL49" s="461"/>
      <c r="EM49" s="461"/>
      <c r="EN49" s="461"/>
      <c r="EO49" s="466"/>
      <c r="EP49" s="461"/>
      <c r="EQ49" s="461"/>
      <c r="ER49" s="461"/>
      <c r="ES49" s="466"/>
      <c r="ET49" s="461"/>
      <c r="EU49" s="461"/>
      <c r="EV49" s="461"/>
      <c r="EW49" s="466"/>
      <c r="EX49" s="461"/>
      <c r="EY49" s="461"/>
      <c r="EZ49" s="461"/>
      <c r="FA49" s="466"/>
      <c r="FB49" s="461"/>
      <c r="FC49" s="461"/>
      <c r="FD49" s="461"/>
      <c r="FE49" s="466"/>
      <c r="FF49" s="461"/>
      <c r="FG49" s="461"/>
      <c r="FH49" s="461"/>
      <c r="FI49" s="466"/>
      <c r="FJ49" s="461"/>
      <c r="FK49" s="461"/>
      <c r="FL49" s="461"/>
      <c r="FM49" s="466"/>
      <c r="FN49" s="461"/>
      <c r="FO49" s="461"/>
      <c r="FP49" s="461"/>
      <c r="FQ49" s="466"/>
      <c r="FR49" s="461"/>
      <c r="FS49" s="461"/>
      <c r="FT49" s="461"/>
      <c r="FU49" s="466"/>
      <c r="FV49" s="461"/>
      <c r="FW49" s="461"/>
      <c r="FX49" s="461"/>
      <c r="FY49" s="466"/>
      <c r="FZ49" s="461"/>
      <c r="GA49" s="461"/>
      <c r="GB49" s="461"/>
      <c r="GC49" s="466"/>
      <c r="GD49" s="461"/>
      <c r="GE49" s="461"/>
      <c r="GF49" s="461"/>
      <c r="GG49" s="466"/>
      <c r="GH49" s="461"/>
      <c r="GI49" s="461"/>
      <c r="GJ49" s="461"/>
      <c r="GK49" s="466"/>
      <c r="GL49" s="461"/>
      <c r="GM49" s="461"/>
      <c r="GN49" s="461"/>
      <c r="GO49" s="466"/>
      <c r="GP49" s="461"/>
      <c r="GQ49" s="461"/>
      <c r="GR49" s="461"/>
      <c r="GS49" s="466"/>
      <c r="GT49" s="461"/>
      <c r="GU49" s="461"/>
      <c r="GV49" s="461"/>
      <c r="GW49" s="466"/>
      <c r="GX49" s="461"/>
      <c r="GY49" s="461"/>
      <c r="GZ49" s="461"/>
      <c r="HA49" s="466"/>
      <c r="HB49" s="461"/>
      <c r="HC49" s="461"/>
      <c r="HD49" s="461"/>
      <c r="HE49" s="466"/>
      <c r="HF49" s="461"/>
      <c r="HG49" s="461"/>
      <c r="HH49" s="461"/>
      <c r="HI49" s="466"/>
      <c r="HJ49" s="461"/>
      <c r="HK49" s="461"/>
      <c r="HL49" s="461"/>
      <c r="HM49" s="466"/>
      <c r="HN49" s="461"/>
      <c r="HO49" s="461"/>
      <c r="HP49" s="461"/>
      <c r="HQ49" s="466"/>
      <c r="HR49" s="461"/>
      <c r="HS49" s="461"/>
      <c r="HT49" s="461"/>
      <c r="HU49" s="466"/>
      <c r="HV49" s="461"/>
      <c r="HW49" s="461"/>
      <c r="HX49" s="461"/>
      <c r="HY49" s="466"/>
      <c r="HZ49" s="461"/>
      <c r="IA49" s="461"/>
      <c r="IB49" s="461"/>
      <c r="IC49" s="466"/>
      <c r="ID49" s="461"/>
      <c r="IE49" s="461"/>
      <c r="IF49" s="461"/>
      <c r="IG49" s="466"/>
      <c r="IH49" s="461"/>
      <c r="II49" s="461"/>
      <c r="IJ49" s="461"/>
      <c r="IK49" s="466"/>
      <c r="IL49" s="461"/>
      <c r="IM49" s="461"/>
      <c r="IN49" s="461"/>
      <c r="IO49" s="466"/>
      <c r="IP49" s="461"/>
      <c r="IQ49" s="461"/>
      <c r="IR49" s="461"/>
      <c r="IS49" s="466"/>
      <c r="IT49" s="461"/>
      <c r="IU49" s="461"/>
      <c r="IV49" s="461"/>
    </row>
    <row r="50" spans="1:256" s="38" customFormat="1" ht="7.5" customHeight="1" x14ac:dyDescent="0.25">
      <c r="A50" s="466"/>
      <c r="B50" s="461"/>
      <c r="C50" s="461"/>
      <c r="D50" s="461"/>
    </row>
    <row r="51" spans="1:256" s="38" customFormat="1" ht="38.25" customHeight="1" x14ac:dyDescent="0.25">
      <c r="A51" s="466" t="s">
        <v>35</v>
      </c>
      <c r="B51" s="461"/>
      <c r="C51" s="461"/>
      <c r="D51" s="461"/>
    </row>
    <row r="52" spans="1:256" s="38" customFormat="1" ht="7.5" customHeight="1" x14ac:dyDescent="0.25">
      <c r="A52" s="466"/>
      <c r="B52" s="461"/>
      <c r="C52" s="461"/>
      <c r="D52" s="461"/>
    </row>
    <row r="53" spans="1:256" s="38" customFormat="1" ht="63.75" customHeight="1" x14ac:dyDescent="0.25">
      <c r="A53" s="466" t="s">
        <v>36</v>
      </c>
      <c r="B53" s="461"/>
      <c r="C53" s="461"/>
      <c r="D53" s="461"/>
    </row>
    <row r="54" spans="1:256" s="38" customFormat="1" ht="15.75" customHeight="1" x14ac:dyDescent="0.25">
      <c r="A54" s="483" t="s">
        <v>593</v>
      </c>
      <c r="B54" s="452"/>
      <c r="C54" s="452"/>
      <c r="D54" s="452"/>
    </row>
    <row r="55" spans="1:256" s="38" customFormat="1" ht="15.75" customHeight="1" x14ac:dyDescent="0.25">
      <c r="A55" s="472" t="s">
        <v>594</v>
      </c>
      <c r="B55" s="452"/>
      <c r="C55" s="452"/>
      <c r="D55" s="452"/>
    </row>
    <row r="56" spans="1:256" s="38" customFormat="1" ht="27" customHeight="1" x14ac:dyDescent="0.25">
      <c r="A56" s="510" t="s">
        <v>689</v>
      </c>
      <c r="B56" s="510"/>
      <c r="C56" s="510"/>
      <c r="D56" s="510"/>
    </row>
    <row r="57" spans="1:256" s="38" customFormat="1" ht="15.75" customHeight="1" x14ac:dyDescent="0.25">
      <c r="A57" s="518" t="s">
        <v>688</v>
      </c>
      <c r="B57" s="518"/>
      <c r="C57" s="518"/>
      <c r="D57" s="518"/>
    </row>
    <row r="58" spans="1:256" s="38" customFormat="1" ht="9.75" customHeight="1" x14ac:dyDescent="0.25">
      <c r="A58" s="39"/>
      <c r="B58" s="37"/>
      <c r="C58" s="37"/>
      <c r="D58" s="37"/>
    </row>
    <row r="59" spans="1:256" ht="15" customHeight="1" x14ac:dyDescent="0.25">
      <c r="A59" s="463" t="s">
        <v>37</v>
      </c>
      <c r="B59" s="461"/>
      <c r="C59" s="461"/>
      <c r="D59" s="461"/>
    </row>
    <row r="60" spans="1:256" ht="7.5" customHeight="1" x14ac:dyDescent="0.25">
      <c r="A60" s="482"/>
      <c r="B60" s="461"/>
      <c r="C60" s="461"/>
      <c r="D60" s="461"/>
    </row>
    <row r="61" spans="1:256" ht="38.25" customHeight="1" x14ac:dyDescent="0.25">
      <c r="A61" s="466" t="s">
        <v>663</v>
      </c>
      <c r="B61" s="461"/>
      <c r="C61" s="461"/>
      <c r="D61" s="461"/>
    </row>
    <row r="62" spans="1:256" ht="7.5" customHeight="1" x14ac:dyDescent="0.25">
      <c r="A62" s="466"/>
      <c r="B62" s="461"/>
      <c r="C62" s="461"/>
      <c r="D62" s="461"/>
    </row>
    <row r="63" spans="1:256" ht="12.75" x14ac:dyDescent="0.25">
      <c r="A63" s="466" t="s">
        <v>38</v>
      </c>
      <c r="B63" s="466"/>
      <c r="C63" s="466"/>
      <c r="D63" s="466"/>
    </row>
    <row r="64" spans="1:256" ht="38.25" customHeight="1" x14ac:dyDescent="0.25">
      <c r="A64" s="32" t="s">
        <v>24</v>
      </c>
      <c r="B64" s="466" t="s">
        <v>39</v>
      </c>
      <c r="C64" s="465"/>
      <c r="D64" s="465"/>
    </row>
    <row r="65" spans="1:10" ht="51" customHeight="1" x14ac:dyDescent="0.2">
      <c r="A65" s="32" t="s">
        <v>24</v>
      </c>
      <c r="B65" s="483" t="s">
        <v>597</v>
      </c>
      <c r="C65" s="474"/>
      <c r="D65" s="474"/>
      <c r="G65" s="484"/>
      <c r="H65" s="485"/>
      <c r="I65" s="485"/>
      <c r="J65" s="485"/>
    </row>
    <row r="66" spans="1:10" ht="25.5" customHeight="1" x14ac:dyDescent="0.2">
      <c r="A66" s="30"/>
      <c r="B66" s="472" t="s">
        <v>14</v>
      </c>
      <c r="C66" s="465"/>
      <c r="D66" s="465"/>
      <c r="G66" s="486"/>
      <c r="H66" s="486"/>
      <c r="I66" s="486"/>
      <c r="J66" s="486"/>
    </row>
    <row r="67" spans="1:10" ht="15" customHeight="1" x14ac:dyDescent="0.2">
      <c r="A67" s="30"/>
      <c r="B67" s="360"/>
      <c r="C67" s="358"/>
      <c r="D67" s="358"/>
      <c r="G67" s="361"/>
      <c r="H67" s="361"/>
      <c r="I67" s="361"/>
      <c r="J67" s="361"/>
    </row>
    <row r="68" spans="1:10" ht="39" customHeight="1" x14ac:dyDescent="0.2">
      <c r="A68" s="446" t="s">
        <v>670</v>
      </c>
      <c r="B68" s="447"/>
      <c r="C68" s="447"/>
      <c r="D68" s="447"/>
      <c r="G68" s="361"/>
      <c r="H68" s="361"/>
      <c r="I68" s="361"/>
      <c r="J68" s="361"/>
    </row>
    <row r="69" spans="1:10" ht="76.5" customHeight="1" x14ac:dyDescent="0.2">
      <c r="A69" s="448" t="s">
        <v>676</v>
      </c>
      <c r="B69" s="448"/>
      <c r="C69" s="448"/>
      <c r="D69" s="448"/>
      <c r="G69" s="361"/>
      <c r="H69" s="361"/>
      <c r="I69" s="361"/>
      <c r="J69" s="361"/>
    </row>
    <row r="70" spans="1:10" ht="38.25" customHeight="1" x14ac:dyDescent="0.2">
      <c r="A70" s="448" t="s">
        <v>674</v>
      </c>
      <c r="B70" s="449"/>
      <c r="C70" s="449"/>
      <c r="D70" s="449"/>
      <c r="G70" s="361"/>
      <c r="H70" s="361"/>
      <c r="I70" s="361"/>
      <c r="J70" s="361"/>
    </row>
    <row r="71" spans="1:10" ht="38.25" customHeight="1" x14ac:dyDescent="0.2">
      <c r="A71" s="381" t="s">
        <v>24</v>
      </c>
      <c r="B71" s="450" t="s">
        <v>671</v>
      </c>
      <c r="C71" s="449"/>
      <c r="D71" s="449"/>
      <c r="G71" s="361"/>
      <c r="H71" s="361"/>
      <c r="I71" s="361"/>
      <c r="J71" s="361"/>
    </row>
    <row r="72" spans="1:10" ht="12.75" customHeight="1" x14ac:dyDescent="0.2">
      <c r="A72" s="381" t="s">
        <v>24</v>
      </c>
      <c r="B72" s="450" t="s">
        <v>675</v>
      </c>
      <c r="C72" s="449"/>
      <c r="D72" s="449"/>
      <c r="G72" s="361"/>
      <c r="H72" s="361"/>
      <c r="I72" s="361"/>
      <c r="J72" s="361"/>
    </row>
    <row r="73" spans="1:10" ht="12.75" customHeight="1" x14ac:dyDescent="0.2">
      <c r="A73" s="381" t="s">
        <v>24</v>
      </c>
      <c r="B73" s="450" t="s">
        <v>640</v>
      </c>
      <c r="C73" s="449"/>
      <c r="D73" s="449"/>
      <c r="G73" s="361"/>
      <c r="H73" s="361"/>
      <c r="I73" s="361"/>
      <c r="J73" s="361"/>
    </row>
    <row r="74" spans="1:10" ht="9.75" customHeight="1" x14ac:dyDescent="0.25">
      <c r="A74" s="459"/>
      <c r="B74" s="452"/>
      <c r="C74" s="452"/>
      <c r="D74" s="452"/>
    </row>
    <row r="75" spans="1:10" ht="15.75" customHeight="1" x14ac:dyDescent="0.25">
      <c r="A75" s="451" t="s">
        <v>493</v>
      </c>
      <c r="B75" s="452"/>
      <c r="C75" s="452"/>
      <c r="D75" s="452"/>
    </row>
    <row r="76" spans="1:10" ht="9.75" customHeight="1" x14ac:dyDescent="0.25">
      <c r="A76" s="263"/>
      <c r="B76" s="264"/>
      <c r="C76" s="264"/>
      <c r="D76" s="264"/>
    </row>
    <row r="77" spans="1:10" ht="72.75" customHeight="1" x14ac:dyDescent="0.25">
      <c r="A77" s="480" t="s">
        <v>664</v>
      </c>
      <c r="B77" s="481"/>
      <c r="C77" s="481"/>
      <c r="D77" s="481"/>
    </row>
    <row r="78" spans="1:10" ht="9.75" customHeight="1" x14ac:dyDescent="0.25">
      <c r="A78" s="263"/>
      <c r="B78" s="264"/>
      <c r="C78" s="264"/>
      <c r="D78" s="264"/>
    </row>
    <row r="79" spans="1:10" ht="15" customHeight="1" x14ac:dyDescent="0.25">
      <c r="A79" s="463" t="s">
        <v>40</v>
      </c>
      <c r="B79" s="461"/>
      <c r="C79" s="461"/>
      <c r="D79" s="461"/>
    </row>
    <row r="80" spans="1:10" ht="7.5" customHeight="1" x14ac:dyDescent="0.25">
      <c r="A80" s="464"/>
      <c r="B80" s="461"/>
      <c r="C80" s="461"/>
      <c r="D80" s="461"/>
    </row>
    <row r="81" spans="1:256" ht="63.75" customHeight="1" x14ac:dyDescent="0.25">
      <c r="A81" s="460" t="s">
        <v>41</v>
      </c>
      <c r="B81" s="461"/>
      <c r="C81" s="461"/>
      <c r="D81" s="461"/>
    </row>
    <row r="82" spans="1:256" ht="38.25" customHeight="1" x14ac:dyDescent="0.25">
      <c r="A82" s="460" t="s">
        <v>665</v>
      </c>
      <c r="B82" s="461"/>
      <c r="C82" s="461"/>
      <c r="D82" s="461"/>
    </row>
    <row r="83" spans="1:256" s="40" customFormat="1" ht="7.5" customHeight="1" x14ac:dyDescent="0.25">
      <c r="A83" s="464"/>
      <c r="B83" s="461"/>
      <c r="C83" s="461"/>
      <c r="D83" s="461"/>
    </row>
    <row r="84" spans="1:256" ht="25.5" customHeight="1" x14ac:dyDescent="0.25">
      <c r="A84" s="460" t="s">
        <v>42</v>
      </c>
      <c r="B84" s="461"/>
      <c r="C84" s="461"/>
      <c r="D84" s="461"/>
    </row>
    <row r="85" spans="1:256" ht="25.5" customHeight="1" x14ac:dyDescent="0.25">
      <c r="A85" s="460" t="s">
        <v>666</v>
      </c>
      <c r="B85" s="461"/>
      <c r="C85" s="461"/>
      <c r="D85" s="461"/>
      <c r="E85" s="460"/>
      <c r="F85" s="461"/>
      <c r="G85" s="461"/>
      <c r="H85" s="461"/>
      <c r="I85" s="460"/>
      <c r="J85" s="461"/>
      <c r="K85" s="461"/>
      <c r="L85" s="461"/>
      <c r="M85" s="460"/>
      <c r="N85" s="461"/>
      <c r="O85" s="461"/>
      <c r="P85" s="461"/>
      <c r="Q85" s="460"/>
      <c r="R85" s="461"/>
      <c r="S85" s="461"/>
      <c r="T85" s="461"/>
      <c r="U85" s="460"/>
      <c r="V85" s="461"/>
      <c r="W85" s="461"/>
      <c r="X85" s="461"/>
      <c r="Y85" s="460"/>
      <c r="Z85" s="461"/>
      <c r="AA85" s="461"/>
      <c r="AB85" s="461"/>
      <c r="AC85" s="460"/>
      <c r="AD85" s="461"/>
      <c r="AE85" s="461"/>
      <c r="AF85" s="461"/>
      <c r="AG85" s="460"/>
      <c r="AH85" s="461"/>
      <c r="AI85" s="461"/>
      <c r="AJ85" s="461"/>
      <c r="AK85" s="460"/>
      <c r="AL85" s="461"/>
      <c r="AM85" s="461"/>
      <c r="AN85" s="461"/>
      <c r="AO85" s="460"/>
      <c r="AP85" s="461"/>
      <c r="AQ85" s="461"/>
      <c r="AR85" s="461"/>
      <c r="AS85" s="460"/>
      <c r="AT85" s="461"/>
      <c r="AU85" s="461"/>
      <c r="AV85" s="461"/>
      <c r="AW85" s="460"/>
      <c r="AX85" s="461"/>
      <c r="AY85" s="461"/>
      <c r="AZ85" s="461"/>
      <c r="BA85" s="460"/>
      <c r="BB85" s="461"/>
      <c r="BC85" s="461"/>
      <c r="BD85" s="461"/>
      <c r="BE85" s="460"/>
      <c r="BF85" s="461"/>
      <c r="BG85" s="461"/>
      <c r="BH85" s="461"/>
      <c r="BI85" s="460"/>
      <c r="BJ85" s="461"/>
      <c r="BK85" s="461"/>
      <c r="BL85" s="461"/>
      <c r="BM85" s="460"/>
      <c r="BN85" s="461"/>
      <c r="BO85" s="461"/>
      <c r="BP85" s="461"/>
      <c r="BQ85" s="460"/>
      <c r="BR85" s="461"/>
      <c r="BS85" s="461"/>
      <c r="BT85" s="461"/>
      <c r="BU85" s="460"/>
      <c r="BV85" s="461"/>
      <c r="BW85" s="461"/>
      <c r="BX85" s="461"/>
      <c r="BY85" s="460"/>
      <c r="BZ85" s="461"/>
      <c r="CA85" s="461"/>
      <c r="CB85" s="461"/>
      <c r="CC85" s="460"/>
      <c r="CD85" s="461"/>
      <c r="CE85" s="461"/>
      <c r="CF85" s="461"/>
      <c r="CG85" s="460"/>
      <c r="CH85" s="461"/>
      <c r="CI85" s="461"/>
      <c r="CJ85" s="461"/>
      <c r="CK85" s="460"/>
      <c r="CL85" s="461"/>
      <c r="CM85" s="461"/>
      <c r="CN85" s="461"/>
      <c r="CO85" s="460"/>
      <c r="CP85" s="461"/>
      <c r="CQ85" s="461"/>
      <c r="CR85" s="461"/>
      <c r="CS85" s="460"/>
      <c r="CT85" s="461"/>
      <c r="CU85" s="461"/>
      <c r="CV85" s="461"/>
      <c r="CW85" s="460"/>
      <c r="CX85" s="461"/>
      <c r="CY85" s="461"/>
      <c r="CZ85" s="461"/>
      <c r="DA85" s="460"/>
      <c r="DB85" s="461"/>
      <c r="DC85" s="461"/>
      <c r="DD85" s="461"/>
      <c r="DE85" s="460"/>
      <c r="DF85" s="461"/>
      <c r="DG85" s="461"/>
      <c r="DH85" s="461"/>
      <c r="DI85" s="460"/>
      <c r="DJ85" s="461"/>
      <c r="DK85" s="461"/>
      <c r="DL85" s="461"/>
      <c r="DM85" s="460"/>
      <c r="DN85" s="461"/>
      <c r="DO85" s="461"/>
      <c r="DP85" s="461"/>
      <c r="DQ85" s="460"/>
      <c r="DR85" s="461"/>
      <c r="DS85" s="461"/>
      <c r="DT85" s="461"/>
      <c r="DU85" s="460"/>
      <c r="DV85" s="461"/>
      <c r="DW85" s="461"/>
      <c r="DX85" s="461"/>
      <c r="DY85" s="460"/>
      <c r="DZ85" s="461"/>
      <c r="EA85" s="461"/>
      <c r="EB85" s="461"/>
      <c r="EC85" s="460"/>
      <c r="ED85" s="461"/>
      <c r="EE85" s="461"/>
      <c r="EF85" s="461"/>
      <c r="EG85" s="460"/>
      <c r="EH85" s="461"/>
      <c r="EI85" s="461"/>
      <c r="EJ85" s="461"/>
      <c r="EK85" s="460"/>
      <c r="EL85" s="461"/>
      <c r="EM85" s="461"/>
      <c r="EN85" s="461"/>
      <c r="EO85" s="460"/>
      <c r="EP85" s="461"/>
      <c r="EQ85" s="461"/>
      <c r="ER85" s="461"/>
      <c r="ES85" s="460"/>
      <c r="ET85" s="461"/>
      <c r="EU85" s="461"/>
      <c r="EV85" s="461"/>
      <c r="EW85" s="460"/>
      <c r="EX85" s="461"/>
      <c r="EY85" s="461"/>
      <c r="EZ85" s="461"/>
      <c r="FA85" s="460"/>
      <c r="FB85" s="461"/>
      <c r="FC85" s="461"/>
      <c r="FD85" s="461"/>
      <c r="FE85" s="460"/>
      <c r="FF85" s="461"/>
      <c r="FG85" s="461"/>
      <c r="FH85" s="461"/>
      <c r="FI85" s="460"/>
      <c r="FJ85" s="461"/>
      <c r="FK85" s="461"/>
      <c r="FL85" s="461"/>
      <c r="FM85" s="460"/>
      <c r="FN85" s="461"/>
      <c r="FO85" s="461"/>
      <c r="FP85" s="461"/>
      <c r="FQ85" s="460"/>
      <c r="FR85" s="461"/>
      <c r="FS85" s="461"/>
      <c r="FT85" s="461"/>
      <c r="FU85" s="460"/>
      <c r="FV85" s="461"/>
      <c r="FW85" s="461"/>
      <c r="FX85" s="461"/>
      <c r="FY85" s="460"/>
      <c r="FZ85" s="461"/>
      <c r="GA85" s="461"/>
      <c r="GB85" s="461"/>
      <c r="GC85" s="460"/>
      <c r="GD85" s="461"/>
      <c r="GE85" s="461"/>
      <c r="GF85" s="461"/>
      <c r="GG85" s="460"/>
      <c r="GH85" s="461"/>
      <c r="GI85" s="461"/>
      <c r="GJ85" s="461"/>
      <c r="GK85" s="460"/>
      <c r="GL85" s="461"/>
      <c r="GM85" s="461"/>
      <c r="GN85" s="461"/>
      <c r="GO85" s="460"/>
      <c r="GP85" s="461"/>
      <c r="GQ85" s="461"/>
      <c r="GR85" s="461"/>
      <c r="GS85" s="460"/>
      <c r="GT85" s="461"/>
      <c r="GU85" s="461"/>
      <c r="GV85" s="461"/>
      <c r="GW85" s="460"/>
      <c r="GX85" s="461"/>
      <c r="GY85" s="461"/>
      <c r="GZ85" s="461"/>
      <c r="HA85" s="460"/>
      <c r="HB85" s="461"/>
      <c r="HC85" s="461"/>
      <c r="HD85" s="461"/>
      <c r="HE85" s="460"/>
      <c r="HF85" s="461"/>
      <c r="HG85" s="461"/>
      <c r="HH85" s="461"/>
      <c r="HI85" s="460"/>
      <c r="HJ85" s="461"/>
      <c r="HK85" s="461"/>
      <c r="HL85" s="461"/>
      <c r="HM85" s="460"/>
      <c r="HN85" s="461"/>
      <c r="HO85" s="461"/>
      <c r="HP85" s="461"/>
      <c r="HQ85" s="460"/>
      <c r="HR85" s="461"/>
      <c r="HS85" s="461"/>
      <c r="HT85" s="461"/>
      <c r="HU85" s="460"/>
      <c r="HV85" s="461"/>
      <c r="HW85" s="461"/>
      <c r="HX85" s="461"/>
      <c r="HY85" s="460"/>
      <c r="HZ85" s="461"/>
      <c r="IA85" s="461"/>
      <c r="IB85" s="461"/>
      <c r="IC85" s="460"/>
      <c r="ID85" s="461"/>
      <c r="IE85" s="461"/>
      <c r="IF85" s="461"/>
      <c r="IG85" s="460"/>
      <c r="IH85" s="461"/>
      <c r="II85" s="461"/>
      <c r="IJ85" s="461"/>
      <c r="IK85" s="460"/>
      <c r="IL85" s="461"/>
      <c r="IM85" s="461"/>
      <c r="IN85" s="461"/>
      <c r="IO85" s="460"/>
      <c r="IP85" s="461"/>
      <c r="IQ85" s="461"/>
      <c r="IR85" s="461"/>
      <c r="IS85" s="460"/>
      <c r="IT85" s="461"/>
      <c r="IU85" s="461"/>
      <c r="IV85" s="461"/>
    </row>
    <row r="86" spans="1:256" ht="7.5" customHeight="1" x14ac:dyDescent="0.25">
      <c r="A86" s="460"/>
      <c r="B86" s="461"/>
      <c r="C86" s="461"/>
      <c r="D86" s="461"/>
    </row>
    <row r="87" spans="1:256" ht="51.75" customHeight="1" x14ac:dyDescent="0.25">
      <c r="A87" s="487" t="s">
        <v>616</v>
      </c>
      <c r="B87" s="457"/>
      <c r="C87" s="457"/>
      <c r="D87" s="457"/>
      <c r="E87" s="348"/>
      <c r="F87" s="348"/>
      <c r="G87" s="348"/>
    </row>
    <row r="88" spans="1:256" ht="9.75" customHeight="1" x14ac:dyDescent="0.25">
      <c r="A88" s="460"/>
      <c r="B88" s="461"/>
      <c r="C88" s="461"/>
      <c r="D88" s="461"/>
    </row>
    <row r="89" spans="1:256" ht="15" customHeight="1" x14ac:dyDescent="0.25">
      <c r="A89" s="463" t="s">
        <v>43</v>
      </c>
      <c r="B89" s="461"/>
      <c r="C89" s="461"/>
      <c r="D89" s="461"/>
    </row>
    <row r="90" spans="1:256" ht="7.5" customHeight="1" x14ac:dyDescent="0.25">
      <c r="A90" s="464"/>
      <c r="B90" s="461"/>
      <c r="C90" s="461"/>
      <c r="D90" s="461"/>
    </row>
    <row r="91" spans="1:256" ht="25.5" customHeight="1" x14ac:dyDescent="0.25">
      <c r="A91" s="462" t="s">
        <v>44</v>
      </c>
      <c r="B91" s="461"/>
      <c r="C91" s="461"/>
      <c r="D91" s="461"/>
    </row>
    <row r="92" spans="1:256" ht="12.75" x14ac:dyDescent="0.25">
      <c r="A92" s="462" t="s">
        <v>45</v>
      </c>
      <c r="B92" s="461"/>
      <c r="C92" s="461"/>
      <c r="D92" s="461"/>
    </row>
    <row r="93" spans="1:256" ht="7.5" customHeight="1" x14ac:dyDescent="0.25">
      <c r="A93" s="488"/>
      <c r="B93" s="461"/>
      <c r="C93" s="461"/>
      <c r="D93" s="461"/>
    </row>
    <row r="94" spans="1:256" ht="30" customHeight="1" x14ac:dyDescent="0.25">
      <c r="A94" s="469" t="s">
        <v>667</v>
      </c>
      <c r="B94" s="489"/>
      <c r="C94" s="489"/>
      <c r="D94" s="489"/>
    </row>
    <row r="95" spans="1:256" ht="30" customHeight="1" x14ac:dyDescent="0.25">
      <c r="A95" s="414"/>
      <c r="B95" s="413"/>
      <c r="C95" s="413"/>
      <c r="D95" s="413"/>
    </row>
    <row r="96" spans="1:256" ht="30" customHeight="1" x14ac:dyDescent="0.25">
      <c r="A96" s="451" t="s">
        <v>811</v>
      </c>
      <c r="B96" s="452"/>
      <c r="C96" s="452"/>
      <c r="D96" s="452"/>
    </row>
    <row r="97" spans="1:4" ht="30" customHeight="1" x14ac:dyDescent="0.25">
      <c r="A97" s="414"/>
      <c r="B97" s="413"/>
      <c r="C97" s="413"/>
      <c r="D97" s="413"/>
    </row>
    <row r="98" spans="1:4" ht="15.75" customHeight="1" x14ac:dyDescent="0.25">
      <c r="A98" s="446" t="s">
        <v>810</v>
      </c>
      <c r="B98" s="447"/>
      <c r="C98" s="447"/>
      <c r="D98" s="447"/>
    </row>
    <row r="99" spans="1:4" ht="21.75" customHeight="1" x14ac:dyDescent="0.25">
      <c r="A99" s="446" t="s">
        <v>865</v>
      </c>
      <c r="B99" s="447"/>
      <c r="C99" s="447"/>
      <c r="D99" s="447"/>
    </row>
    <row r="100" spans="1:4" ht="21" customHeight="1" x14ac:dyDescent="0.25">
      <c r="A100" s="411"/>
      <c r="B100" s="412" t="s">
        <v>814</v>
      </c>
      <c r="C100" s="412"/>
      <c r="D100" s="412"/>
    </row>
    <row r="101" spans="1:4" ht="19.5" customHeight="1" x14ac:dyDescent="0.25">
      <c r="A101" s="411"/>
      <c r="B101" s="429" t="s">
        <v>812</v>
      </c>
      <c r="C101" s="429" t="s">
        <v>813</v>
      </c>
      <c r="D101" s="430"/>
    </row>
    <row r="102" spans="1:4" ht="12.95" customHeight="1" x14ac:dyDescent="0.25">
      <c r="A102" s="411"/>
      <c r="B102" s="422" t="s">
        <v>815</v>
      </c>
      <c r="C102" s="422" t="s">
        <v>821</v>
      </c>
      <c r="D102" s="425"/>
    </row>
    <row r="103" spans="1:4" ht="12.95" customHeight="1" x14ac:dyDescent="0.25">
      <c r="A103" s="411"/>
      <c r="B103" s="422" t="s">
        <v>816</v>
      </c>
      <c r="C103" s="422" t="s">
        <v>822</v>
      </c>
      <c r="D103" s="425"/>
    </row>
    <row r="104" spans="1:4" ht="12.95" customHeight="1" x14ac:dyDescent="0.25">
      <c r="A104" s="411"/>
      <c r="B104" s="422" t="s">
        <v>869</v>
      </c>
      <c r="C104" s="422" t="s">
        <v>870</v>
      </c>
      <c r="D104" s="425"/>
    </row>
    <row r="105" spans="1:4" ht="12.95" customHeight="1" x14ac:dyDescent="0.25">
      <c r="A105" s="411"/>
      <c r="B105" s="422" t="s">
        <v>817</v>
      </c>
      <c r="C105" s="422" t="s">
        <v>823</v>
      </c>
      <c r="D105" s="425"/>
    </row>
    <row r="106" spans="1:4" ht="12.95" customHeight="1" x14ac:dyDescent="0.25">
      <c r="A106" s="411"/>
      <c r="B106" s="422" t="s">
        <v>818</v>
      </c>
      <c r="C106" s="422" t="s">
        <v>824</v>
      </c>
      <c r="D106" s="425"/>
    </row>
    <row r="107" spans="1:4" ht="12.95" customHeight="1" x14ac:dyDescent="0.25">
      <c r="A107" s="411"/>
      <c r="B107" s="422" t="s">
        <v>819</v>
      </c>
      <c r="C107" s="422" t="s">
        <v>825</v>
      </c>
      <c r="D107" s="425"/>
    </row>
    <row r="108" spans="1:4" ht="12.95" customHeight="1" x14ac:dyDescent="0.25">
      <c r="A108" s="411"/>
      <c r="B108" s="422" t="s">
        <v>820</v>
      </c>
      <c r="C108" s="422" t="s">
        <v>826</v>
      </c>
      <c r="D108" s="425"/>
    </row>
    <row r="109" spans="1:4" ht="12.95" customHeight="1" x14ac:dyDescent="0.25">
      <c r="A109" s="411"/>
      <c r="B109" s="422" t="s">
        <v>871</v>
      </c>
      <c r="C109" s="422" t="s">
        <v>872</v>
      </c>
      <c r="D109" s="425"/>
    </row>
    <row r="110" spans="1:4" ht="12.95" customHeight="1" x14ac:dyDescent="0.25">
      <c r="A110" s="411"/>
      <c r="B110" s="422" t="s">
        <v>878</v>
      </c>
      <c r="C110" s="422" t="s">
        <v>878</v>
      </c>
      <c r="D110" s="425"/>
    </row>
    <row r="111" spans="1:4" ht="12.95" customHeight="1" x14ac:dyDescent="0.25">
      <c r="A111" s="411"/>
      <c r="B111" s="422"/>
      <c r="C111" s="422"/>
      <c r="D111" s="425"/>
    </row>
    <row r="112" spans="1:4" ht="12.95" customHeight="1" x14ac:dyDescent="0.25">
      <c r="A112" s="411"/>
      <c r="B112" s="422"/>
      <c r="C112" s="422" t="s">
        <v>827</v>
      </c>
      <c r="D112" s="425"/>
    </row>
    <row r="113" spans="1:4" ht="12.95" customHeight="1" x14ac:dyDescent="0.25">
      <c r="A113" s="411"/>
      <c r="B113" s="421"/>
      <c r="C113" s="421" t="s">
        <v>828</v>
      </c>
      <c r="D113" s="424"/>
    </row>
    <row r="114" spans="1:4" ht="35.25" customHeight="1" x14ac:dyDescent="0.25">
      <c r="A114" s="411"/>
      <c r="B114" s="493" t="s">
        <v>879</v>
      </c>
      <c r="C114" s="494"/>
      <c r="D114" s="494"/>
    </row>
    <row r="115" spans="1:4" ht="12.95" customHeight="1" x14ac:dyDescent="0.25">
      <c r="A115" s="411"/>
      <c r="B115" s="423"/>
      <c r="C115" s="423"/>
      <c r="D115" s="423"/>
    </row>
    <row r="116" spans="1:4" ht="12.95" customHeight="1" x14ac:dyDescent="0.25">
      <c r="A116" s="411"/>
      <c r="B116" s="423" t="s">
        <v>829</v>
      </c>
      <c r="C116" s="423"/>
      <c r="D116" s="423"/>
    </row>
    <row r="117" spans="1:4" ht="12.95" customHeight="1" x14ac:dyDescent="0.25">
      <c r="A117" s="411"/>
      <c r="B117" s="423"/>
      <c r="C117" s="423"/>
      <c r="D117" s="423"/>
    </row>
    <row r="118" spans="1:4" ht="12.95" customHeight="1" x14ac:dyDescent="0.25">
      <c r="A118" s="411"/>
      <c r="B118" s="423" t="s">
        <v>830</v>
      </c>
      <c r="C118" s="423"/>
      <c r="D118" s="423"/>
    </row>
    <row r="119" spans="1:4" ht="12.95" customHeight="1" x14ac:dyDescent="0.25">
      <c r="A119" s="411"/>
      <c r="B119" s="423"/>
      <c r="C119" s="423"/>
      <c r="D119" s="423"/>
    </row>
    <row r="120" spans="1:4" ht="12.95" customHeight="1" x14ac:dyDescent="0.25">
      <c r="A120" s="411"/>
      <c r="B120" s="428" t="s">
        <v>812</v>
      </c>
      <c r="C120" s="429" t="s">
        <v>813</v>
      </c>
      <c r="D120" s="430"/>
    </row>
    <row r="121" spans="1:4" ht="12.95" customHeight="1" x14ac:dyDescent="0.25">
      <c r="A121" s="411"/>
      <c r="B121" s="427"/>
      <c r="C121" s="422"/>
      <c r="D121" s="425"/>
    </row>
    <row r="122" spans="1:4" ht="12.95" customHeight="1" x14ac:dyDescent="0.25">
      <c r="A122" s="411"/>
      <c r="B122" s="427" t="s">
        <v>880</v>
      </c>
      <c r="C122" s="422" t="s">
        <v>831</v>
      </c>
      <c r="D122" s="425"/>
    </row>
    <row r="123" spans="1:4" ht="12.95" customHeight="1" x14ac:dyDescent="0.25">
      <c r="A123" s="411"/>
      <c r="B123" s="427" t="s">
        <v>831</v>
      </c>
      <c r="C123" s="422" t="s">
        <v>881</v>
      </c>
      <c r="D123" s="425"/>
    </row>
    <row r="124" spans="1:4" ht="12.95" customHeight="1" x14ac:dyDescent="0.25">
      <c r="A124" s="411"/>
      <c r="B124" s="427"/>
      <c r="C124" s="422" t="s">
        <v>882</v>
      </c>
      <c r="D124" s="425"/>
    </row>
    <row r="125" spans="1:4" ht="12.95" customHeight="1" x14ac:dyDescent="0.25">
      <c r="A125" s="411"/>
      <c r="B125" s="427"/>
      <c r="C125" s="422" t="s">
        <v>883</v>
      </c>
      <c r="D125" s="425"/>
    </row>
    <row r="126" spans="1:4" ht="12.95" customHeight="1" x14ac:dyDescent="0.25">
      <c r="A126" s="411"/>
      <c r="B126" s="427"/>
      <c r="C126" s="422"/>
      <c r="D126" s="425"/>
    </row>
    <row r="127" spans="1:4" ht="12.95" customHeight="1" x14ac:dyDescent="0.25">
      <c r="A127" s="411"/>
      <c r="B127" s="427" t="s">
        <v>832</v>
      </c>
      <c r="C127" s="422" t="s">
        <v>833</v>
      </c>
      <c r="D127" s="425"/>
    </row>
    <row r="128" spans="1:4" ht="12.95" customHeight="1" x14ac:dyDescent="0.25">
      <c r="A128" s="411"/>
      <c r="B128" s="427"/>
      <c r="C128" s="422" t="s">
        <v>834</v>
      </c>
      <c r="D128" s="425"/>
    </row>
    <row r="129" spans="1:4" ht="12.95" customHeight="1" x14ac:dyDescent="0.25">
      <c r="A129" s="411"/>
      <c r="B129" s="427"/>
      <c r="C129" s="422" t="s">
        <v>835</v>
      </c>
      <c r="D129" s="425"/>
    </row>
    <row r="130" spans="1:4" ht="12.95" customHeight="1" x14ac:dyDescent="0.25">
      <c r="A130" s="411"/>
      <c r="B130" s="427"/>
      <c r="C130" s="422"/>
      <c r="D130" s="425"/>
    </row>
    <row r="131" spans="1:4" ht="12.95" customHeight="1" x14ac:dyDescent="0.25">
      <c r="A131" s="411"/>
      <c r="B131" s="427" t="s">
        <v>884</v>
      </c>
      <c r="C131" s="422" t="s">
        <v>837</v>
      </c>
      <c r="D131" s="425"/>
    </row>
    <row r="132" spans="1:4" ht="12.95" customHeight="1" x14ac:dyDescent="0.25">
      <c r="A132" s="411"/>
      <c r="B132" s="427" t="s">
        <v>836</v>
      </c>
      <c r="C132" s="422" t="s">
        <v>838</v>
      </c>
      <c r="D132" s="425"/>
    </row>
    <row r="133" spans="1:4" ht="12.95" customHeight="1" x14ac:dyDescent="0.25">
      <c r="A133" s="411"/>
      <c r="B133" s="427"/>
      <c r="C133" s="422" t="s">
        <v>839</v>
      </c>
      <c r="D133" s="425"/>
    </row>
    <row r="134" spans="1:4" ht="12.95" customHeight="1" x14ac:dyDescent="0.25">
      <c r="A134" s="411"/>
      <c r="B134" s="427"/>
      <c r="C134" s="422" t="s">
        <v>840</v>
      </c>
      <c r="D134" s="425"/>
    </row>
    <row r="135" spans="1:4" ht="12.95" customHeight="1" x14ac:dyDescent="0.25">
      <c r="A135" s="411"/>
      <c r="B135" s="427"/>
      <c r="C135" s="422"/>
      <c r="D135" s="425"/>
    </row>
    <row r="136" spans="1:4" ht="12.95" customHeight="1" x14ac:dyDescent="0.25">
      <c r="A136" s="411"/>
      <c r="B136" s="427"/>
      <c r="C136" s="422"/>
      <c r="D136" s="425"/>
    </row>
    <row r="137" spans="1:4" ht="12.95" customHeight="1" x14ac:dyDescent="0.25">
      <c r="A137" s="411"/>
      <c r="B137" s="427" t="s">
        <v>841</v>
      </c>
      <c r="C137" s="422" t="s">
        <v>841</v>
      </c>
      <c r="D137" s="425"/>
    </row>
    <row r="138" spans="1:4" ht="12.95" customHeight="1" x14ac:dyDescent="0.25">
      <c r="A138" s="411"/>
      <c r="B138" s="427" t="s">
        <v>842</v>
      </c>
      <c r="C138" s="422" t="s">
        <v>842</v>
      </c>
      <c r="D138" s="425"/>
    </row>
    <row r="139" spans="1:4" ht="12.95" customHeight="1" x14ac:dyDescent="0.25">
      <c r="A139" s="411"/>
      <c r="B139" s="427" t="s">
        <v>885</v>
      </c>
      <c r="C139" s="422" t="s">
        <v>844</v>
      </c>
      <c r="D139" s="425"/>
    </row>
    <row r="140" spans="1:4" ht="12.95" customHeight="1" x14ac:dyDescent="0.25">
      <c r="A140" s="411"/>
      <c r="B140" s="427" t="s">
        <v>843</v>
      </c>
      <c r="C140" s="422" t="s">
        <v>845</v>
      </c>
      <c r="D140" s="425"/>
    </row>
    <row r="141" spans="1:4" ht="12.95" customHeight="1" x14ac:dyDescent="0.25">
      <c r="A141" s="411"/>
      <c r="B141" s="427"/>
      <c r="C141" s="422" t="s">
        <v>846</v>
      </c>
      <c r="D141" s="425"/>
    </row>
    <row r="142" spans="1:4" ht="12.95" customHeight="1" x14ac:dyDescent="0.25">
      <c r="A142" s="411"/>
      <c r="B142" s="427"/>
      <c r="C142" s="422" t="s">
        <v>847</v>
      </c>
      <c r="D142" s="425"/>
    </row>
    <row r="143" spans="1:4" ht="12.95" customHeight="1" x14ac:dyDescent="0.25">
      <c r="A143" s="411"/>
      <c r="B143" s="431"/>
      <c r="C143" s="432"/>
      <c r="D143" s="433"/>
    </row>
    <row r="144" spans="1:4" ht="12.95" customHeight="1" x14ac:dyDescent="0.25">
      <c r="A144" s="411"/>
      <c r="B144" s="434"/>
      <c r="C144" s="435"/>
      <c r="D144" s="436"/>
    </row>
    <row r="145" spans="1:4" ht="12.95" customHeight="1" x14ac:dyDescent="0.25">
      <c r="A145" s="411"/>
      <c r="B145" s="427"/>
      <c r="C145" s="422"/>
      <c r="D145" s="425"/>
    </row>
    <row r="146" spans="1:4" ht="12.95" customHeight="1" x14ac:dyDescent="0.25">
      <c r="A146" s="411"/>
      <c r="B146" s="427" t="s">
        <v>886</v>
      </c>
      <c r="C146" s="422" t="s">
        <v>848</v>
      </c>
      <c r="D146" s="425"/>
    </row>
    <row r="147" spans="1:4" ht="12.95" customHeight="1" x14ac:dyDescent="0.25">
      <c r="A147" s="411"/>
      <c r="B147" s="427" t="s">
        <v>848</v>
      </c>
      <c r="C147" s="422" t="s">
        <v>850</v>
      </c>
      <c r="D147" s="425"/>
    </row>
    <row r="148" spans="1:4" ht="12.95" customHeight="1" x14ac:dyDescent="0.25">
      <c r="A148" s="411"/>
      <c r="B148" s="427"/>
      <c r="C148" s="422" t="s">
        <v>851</v>
      </c>
      <c r="D148" s="425"/>
    </row>
    <row r="149" spans="1:4" ht="12.95" customHeight="1" x14ac:dyDescent="0.25">
      <c r="A149" s="411"/>
      <c r="B149" s="427"/>
      <c r="C149" s="422" t="s">
        <v>852</v>
      </c>
      <c r="D149" s="425"/>
    </row>
    <row r="150" spans="1:4" ht="12.95" customHeight="1" x14ac:dyDescent="0.25">
      <c r="A150" s="411"/>
      <c r="B150" s="427"/>
      <c r="C150" s="422"/>
      <c r="D150" s="425"/>
    </row>
    <row r="151" spans="1:4" ht="12.95" customHeight="1" x14ac:dyDescent="0.25">
      <c r="A151" s="411"/>
      <c r="B151" s="427" t="s">
        <v>887</v>
      </c>
      <c r="C151" s="422" t="s">
        <v>854</v>
      </c>
      <c r="D151" s="425"/>
    </row>
    <row r="152" spans="1:4" ht="12.95" customHeight="1" x14ac:dyDescent="0.25">
      <c r="A152" s="411"/>
      <c r="B152" s="427" t="s">
        <v>849</v>
      </c>
      <c r="C152" s="422" t="s">
        <v>853</v>
      </c>
      <c r="D152" s="425"/>
    </row>
    <row r="153" spans="1:4" ht="12.95" customHeight="1" x14ac:dyDescent="0.25">
      <c r="A153" s="411"/>
      <c r="B153" s="427"/>
      <c r="C153" s="422" t="s">
        <v>855</v>
      </c>
      <c r="D153" s="425"/>
    </row>
    <row r="154" spans="1:4" ht="12.95" customHeight="1" x14ac:dyDescent="0.25">
      <c r="A154" s="411"/>
      <c r="B154" s="427"/>
      <c r="C154" s="422" t="s">
        <v>856</v>
      </c>
      <c r="D154" s="425"/>
    </row>
    <row r="155" spans="1:4" ht="12.95" customHeight="1" x14ac:dyDescent="0.25">
      <c r="A155" s="411"/>
      <c r="B155" s="427"/>
      <c r="C155" s="422"/>
      <c r="D155" s="425"/>
    </row>
    <row r="156" spans="1:4" ht="12.95" customHeight="1" x14ac:dyDescent="0.25">
      <c r="A156" s="411"/>
      <c r="B156" s="427" t="s">
        <v>857</v>
      </c>
      <c r="C156" s="422" t="s">
        <v>857</v>
      </c>
      <c r="D156" s="425"/>
    </row>
    <row r="157" spans="1:4" ht="12.95" customHeight="1" x14ac:dyDescent="0.25">
      <c r="A157" s="411"/>
      <c r="B157" s="427" t="s">
        <v>858</v>
      </c>
      <c r="C157" s="422" t="s">
        <v>858</v>
      </c>
      <c r="D157" s="425"/>
    </row>
    <row r="158" spans="1:4" ht="12.95" customHeight="1" x14ac:dyDescent="0.25">
      <c r="A158" s="411"/>
      <c r="B158" s="427" t="s">
        <v>888</v>
      </c>
      <c r="C158" s="422" t="s">
        <v>860</v>
      </c>
      <c r="D158" s="425"/>
    </row>
    <row r="159" spans="1:4" ht="12.95" customHeight="1" x14ac:dyDescent="0.25">
      <c r="A159" s="411"/>
      <c r="B159" s="427" t="s">
        <v>859</v>
      </c>
      <c r="C159" s="422" t="s">
        <v>861</v>
      </c>
      <c r="D159" s="425"/>
    </row>
    <row r="160" spans="1:4" ht="12.95" customHeight="1" x14ac:dyDescent="0.25">
      <c r="A160" s="411"/>
      <c r="B160" s="427"/>
      <c r="C160" s="422" t="s">
        <v>862</v>
      </c>
      <c r="D160" s="425"/>
    </row>
    <row r="161" spans="1:4" ht="12.95" customHeight="1" x14ac:dyDescent="0.25">
      <c r="A161" s="411"/>
      <c r="B161" s="426"/>
      <c r="C161" s="421" t="s">
        <v>863</v>
      </c>
      <c r="D161" s="424"/>
    </row>
    <row r="162" spans="1:4" ht="12.95" customHeight="1" x14ac:dyDescent="0.25">
      <c r="A162" s="411"/>
      <c r="B162" s="423" t="s">
        <v>894</v>
      </c>
      <c r="C162" s="423"/>
      <c r="D162" s="423"/>
    </row>
    <row r="163" spans="1:4" ht="12.95" customHeight="1" x14ac:dyDescent="0.25">
      <c r="A163" s="441"/>
      <c r="B163" s="423" t="s">
        <v>893</v>
      </c>
      <c r="C163" s="423"/>
      <c r="D163" s="423"/>
    </row>
    <row r="164" spans="1:4" ht="15" customHeight="1" x14ac:dyDescent="0.25">
      <c r="B164" s="423" t="s">
        <v>892</v>
      </c>
    </row>
    <row r="165" spans="1:4" ht="12.95" customHeight="1" x14ac:dyDescent="0.25">
      <c r="A165" s="441"/>
      <c r="B165" s="423" t="s">
        <v>891</v>
      </c>
      <c r="C165" s="423"/>
      <c r="D165" s="423"/>
    </row>
    <row r="166" spans="1:4" ht="12.95" customHeight="1" x14ac:dyDescent="0.25">
      <c r="A166" s="441"/>
      <c r="B166" s="423" t="s">
        <v>890</v>
      </c>
      <c r="C166" s="423"/>
      <c r="D166" s="423"/>
    </row>
    <row r="167" spans="1:4" ht="12.95" customHeight="1" x14ac:dyDescent="0.25">
      <c r="A167" s="441"/>
      <c r="B167" s="423" t="s">
        <v>889</v>
      </c>
      <c r="C167" s="423"/>
      <c r="D167" s="423"/>
    </row>
    <row r="168" spans="1:4" ht="12.95" customHeight="1" x14ac:dyDescent="0.25">
      <c r="A168" s="441"/>
      <c r="B168" s="423"/>
      <c r="C168" s="423"/>
      <c r="D168" s="423"/>
    </row>
    <row r="169" spans="1:4" ht="12.95" customHeight="1" x14ac:dyDescent="0.25">
      <c r="A169" s="411"/>
      <c r="B169" s="423" t="s">
        <v>864</v>
      </c>
      <c r="C169" s="423"/>
      <c r="D169" s="423"/>
    </row>
    <row r="170" spans="1:4" ht="12.95" customHeight="1" x14ac:dyDescent="0.25">
      <c r="A170" s="411"/>
      <c r="B170" s="412"/>
      <c r="C170" s="412"/>
      <c r="D170" s="412"/>
    </row>
    <row r="171" spans="1:4" ht="14.25" customHeight="1" x14ac:dyDescent="0.25">
      <c r="A171" s="451" t="s">
        <v>716</v>
      </c>
      <c r="B171" s="452"/>
      <c r="C171" s="452"/>
      <c r="D171" s="452"/>
    </row>
    <row r="172" spans="1:4" ht="14.25" customHeight="1" x14ac:dyDescent="0.25">
      <c r="A172" s="410"/>
      <c r="B172" s="409"/>
      <c r="C172" s="409"/>
      <c r="D172" s="409"/>
    </row>
    <row r="173" spans="1:4" ht="28.5" customHeight="1" x14ac:dyDescent="0.25">
      <c r="A173" s="446" t="s">
        <v>717</v>
      </c>
      <c r="B173" s="447"/>
      <c r="C173" s="447"/>
      <c r="D173" s="447"/>
    </row>
    <row r="174" spans="1:4" ht="14.25" customHeight="1" x14ac:dyDescent="0.25">
      <c r="A174" s="410"/>
      <c r="B174" s="409"/>
      <c r="C174" s="409"/>
      <c r="D174" s="409"/>
    </row>
    <row r="175" spans="1:4" ht="14.25" customHeight="1" x14ac:dyDescent="0.25">
      <c r="A175" s="451" t="s">
        <v>709</v>
      </c>
      <c r="B175" s="452"/>
      <c r="C175" s="452"/>
      <c r="D175" s="452"/>
    </row>
    <row r="176" spans="1:4" ht="8.25" customHeight="1" x14ac:dyDescent="0.25">
      <c r="A176" s="408"/>
      <c r="B176" s="407"/>
      <c r="C176" s="407"/>
      <c r="D176" s="407"/>
    </row>
    <row r="177" spans="1:4" ht="30" customHeight="1" x14ac:dyDescent="0.25">
      <c r="A177" s="446" t="s">
        <v>711</v>
      </c>
      <c r="B177" s="447"/>
      <c r="C177" s="447"/>
      <c r="D177" s="447"/>
    </row>
    <row r="178" spans="1:4" ht="74.25" customHeight="1" x14ac:dyDescent="0.25">
      <c r="A178" s="459" t="s">
        <v>614</v>
      </c>
      <c r="B178" s="452"/>
      <c r="C178" s="452"/>
      <c r="D178" s="452"/>
    </row>
    <row r="179" spans="1:4" ht="14.25" customHeight="1" x14ac:dyDescent="0.25">
      <c r="A179" s="408"/>
      <c r="B179" s="407"/>
      <c r="C179" s="407"/>
      <c r="D179" s="407"/>
    </row>
    <row r="180" spans="1:4" ht="14.25" customHeight="1" x14ac:dyDescent="0.25">
      <c r="A180" s="451" t="s">
        <v>695</v>
      </c>
      <c r="B180" s="452"/>
      <c r="C180" s="452"/>
      <c r="D180" s="452"/>
    </row>
    <row r="181" spans="1:4" ht="8.25" customHeight="1" x14ac:dyDescent="0.25">
      <c r="A181" s="446"/>
      <c r="B181" s="447"/>
      <c r="C181" s="447"/>
      <c r="D181" s="447"/>
    </row>
    <row r="182" spans="1:4" ht="61.5" customHeight="1" x14ac:dyDescent="0.25">
      <c r="A182" s="455" t="s">
        <v>699</v>
      </c>
      <c r="B182" s="456"/>
      <c r="C182" s="456"/>
      <c r="D182" s="456"/>
    </row>
    <row r="183" spans="1:4" ht="16.5" customHeight="1" x14ac:dyDescent="0.25">
      <c r="A183" s="455" t="s">
        <v>700</v>
      </c>
      <c r="B183" s="456"/>
      <c r="C183" s="456"/>
      <c r="D183" s="456"/>
    </row>
    <row r="184" spans="1:4" ht="12.75" customHeight="1" x14ac:dyDescent="0.25">
      <c r="A184" s="476" t="s">
        <v>697</v>
      </c>
      <c r="B184" s="477"/>
      <c r="C184" s="477"/>
      <c r="D184" s="402"/>
    </row>
    <row r="185" spans="1:4" ht="9" customHeight="1" x14ac:dyDescent="0.25">
      <c r="A185" s="455"/>
      <c r="B185" s="456"/>
      <c r="C185" s="456"/>
      <c r="D185" s="456"/>
    </row>
    <row r="186" spans="1:4" ht="69" customHeight="1" x14ac:dyDescent="0.25">
      <c r="A186" s="455" t="s">
        <v>696</v>
      </c>
      <c r="B186" s="457"/>
      <c r="C186" s="457"/>
      <c r="D186" s="457"/>
    </row>
    <row r="187" spans="1:4" ht="14.25" customHeight="1" x14ac:dyDescent="0.25">
      <c r="A187" s="400"/>
      <c r="B187" s="401"/>
      <c r="C187" s="401"/>
      <c r="D187" s="401"/>
    </row>
    <row r="188" spans="1:4" ht="16.5" customHeight="1" x14ac:dyDescent="0.25">
      <c r="A188" s="451" t="s">
        <v>683</v>
      </c>
      <c r="B188" s="452"/>
      <c r="C188" s="452"/>
      <c r="D188" s="452"/>
    </row>
    <row r="189" spans="1:4" ht="6" customHeight="1" x14ac:dyDescent="0.25">
      <c r="A189" s="446"/>
      <c r="B189" s="447"/>
      <c r="C189" s="447"/>
      <c r="D189" s="447"/>
    </row>
    <row r="190" spans="1:4" ht="53.25" customHeight="1" x14ac:dyDescent="0.25">
      <c r="A190" s="455" t="s">
        <v>693</v>
      </c>
      <c r="B190" s="456"/>
      <c r="C190" s="456"/>
      <c r="D190" s="456"/>
    </row>
    <row r="191" spans="1:4" ht="70.5" customHeight="1" x14ac:dyDescent="0.25">
      <c r="A191" s="458" t="s">
        <v>691</v>
      </c>
      <c r="B191" s="458"/>
      <c r="C191" s="458"/>
      <c r="D191" s="458"/>
    </row>
    <row r="192" spans="1:4" ht="27.75" customHeight="1" x14ac:dyDescent="0.25">
      <c r="A192" s="455" t="s">
        <v>684</v>
      </c>
      <c r="B192" s="456"/>
      <c r="C192" s="456"/>
      <c r="D192" s="456"/>
    </row>
    <row r="193" spans="1:4" ht="50.25" customHeight="1" x14ac:dyDescent="0.25">
      <c r="A193" s="455" t="s">
        <v>685</v>
      </c>
      <c r="B193" s="457"/>
      <c r="C193" s="457"/>
      <c r="D193" s="457"/>
    </row>
    <row r="194" spans="1:4" ht="9.75" customHeight="1" x14ac:dyDescent="0.25">
      <c r="A194" s="396"/>
      <c r="B194" s="395"/>
      <c r="C194" s="395"/>
      <c r="D194" s="395"/>
    </row>
    <row r="195" spans="1:4" ht="15" x14ac:dyDescent="0.25">
      <c r="A195" s="451" t="s">
        <v>642</v>
      </c>
      <c r="B195" s="452"/>
      <c r="C195" s="452"/>
      <c r="D195" s="452"/>
    </row>
    <row r="196" spans="1:4" ht="6" customHeight="1" x14ac:dyDescent="0.25">
      <c r="A196" s="389"/>
      <c r="B196" s="389"/>
      <c r="C196" s="389"/>
      <c r="D196" s="389"/>
    </row>
    <row r="197" spans="1:4" ht="147" customHeight="1" x14ac:dyDescent="0.25">
      <c r="A197" s="453" t="s">
        <v>690</v>
      </c>
      <c r="B197" s="454"/>
      <c r="C197" s="454"/>
      <c r="D197" s="454"/>
    </row>
    <row r="198" spans="1:4" ht="7.5" customHeight="1" x14ac:dyDescent="0.25">
      <c r="A198" s="364"/>
      <c r="B198" s="362"/>
      <c r="C198" s="362"/>
      <c r="D198" s="362"/>
    </row>
    <row r="199" spans="1:4" ht="94.5" customHeight="1" x14ac:dyDescent="0.25">
      <c r="A199" s="446" t="s">
        <v>682</v>
      </c>
      <c r="B199" s="447"/>
      <c r="C199" s="447"/>
      <c r="D199" s="447"/>
    </row>
    <row r="200" spans="1:4" ht="4.5" customHeight="1" x14ac:dyDescent="0.25">
      <c r="A200" s="364"/>
      <c r="B200" s="362"/>
      <c r="C200" s="362"/>
      <c r="D200" s="362"/>
    </row>
    <row r="201" spans="1:4" ht="25.5" customHeight="1" x14ac:dyDescent="0.25">
      <c r="A201" s="446" t="s">
        <v>672</v>
      </c>
      <c r="B201" s="447"/>
      <c r="C201" s="447"/>
      <c r="D201" s="447"/>
    </row>
    <row r="202" spans="1:4" ht="75.75" customHeight="1" x14ac:dyDescent="0.25">
      <c r="A202" s="446" t="s">
        <v>676</v>
      </c>
      <c r="B202" s="447"/>
      <c r="C202" s="447"/>
      <c r="D202" s="447"/>
    </row>
    <row r="203" spans="1:4" ht="12.75" customHeight="1" x14ac:dyDescent="0.25">
      <c r="A203" s="446" t="s">
        <v>644</v>
      </c>
      <c r="B203" s="447"/>
      <c r="C203" s="447"/>
      <c r="D203" s="447"/>
    </row>
    <row r="204" spans="1:4" ht="8.25" customHeight="1" x14ac:dyDescent="0.25">
      <c r="A204" s="366"/>
      <c r="B204" s="383"/>
      <c r="C204" s="383"/>
      <c r="D204" s="383"/>
    </row>
    <row r="205" spans="1:4" ht="64.5" customHeight="1" x14ac:dyDescent="0.25">
      <c r="A205" s="455" t="s">
        <v>643</v>
      </c>
      <c r="B205" s="457"/>
      <c r="C205" s="457"/>
      <c r="D205" s="457"/>
    </row>
    <row r="206" spans="1:4" ht="9.75" customHeight="1" x14ac:dyDescent="0.25">
      <c r="A206" s="364"/>
      <c r="B206" s="362"/>
      <c r="C206" s="362"/>
      <c r="D206" s="362"/>
    </row>
    <row r="207" spans="1:4" ht="15" x14ac:dyDescent="0.25">
      <c r="A207" s="451" t="s">
        <v>621</v>
      </c>
      <c r="B207" s="452"/>
      <c r="C207" s="452"/>
      <c r="D207" s="452"/>
    </row>
    <row r="208" spans="1:4" ht="7.5" customHeight="1" x14ac:dyDescent="0.25">
      <c r="A208" s="491"/>
      <c r="B208" s="452"/>
      <c r="C208" s="452"/>
      <c r="D208" s="452"/>
    </row>
    <row r="209" spans="1:4" ht="24" customHeight="1" x14ac:dyDescent="0.25">
      <c r="A209" s="459" t="s">
        <v>622</v>
      </c>
      <c r="B209" s="452"/>
      <c r="C209" s="452"/>
      <c r="D209" s="452"/>
    </row>
    <row r="210" spans="1:4" ht="61.5" customHeight="1" x14ac:dyDescent="0.25">
      <c r="A210" s="459" t="s">
        <v>623</v>
      </c>
      <c r="B210" s="492"/>
      <c r="C210" s="492"/>
      <c r="D210" s="492"/>
    </row>
    <row r="211" spans="1:4" ht="78" customHeight="1" x14ac:dyDescent="0.25">
      <c r="A211" s="459" t="s">
        <v>624</v>
      </c>
      <c r="B211" s="492"/>
      <c r="C211" s="492"/>
      <c r="D211" s="492"/>
    </row>
    <row r="212" spans="1:4" ht="74.25" customHeight="1" x14ac:dyDescent="0.25">
      <c r="A212" s="480" t="s">
        <v>625</v>
      </c>
      <c r="B212" s="490"/>
      <c r="C212" s="490"/>
      <c r="D212" s="490"/>
    </row>
    <row r="213" spans="1:4" ht="18" customHeight="1" x14ac:dyDescent="0.25">
      <c r="A213" s="463" t="s">
        <v>612</v>
      </c>
      <c r="B213" s="461"/>
      <c r="C213" s="461"/>
      <c r="D213" s="461"/>
    </row>
    <row r="214" spans="1:4" ht="7.5" customHeight="1" x14ac:dyDescent="0.25">
      <c r="A214" s="24"/>
      <c r="B214" s="37"/>
      <c r="C214" s="37"/>
      <c r="D214" s="37"/>
    </row>
    <row r="215" spans="1:4" ht="33" customHeight="1" x14ac:dyDescent="0.25">
      <c r="A215" s="446" t="s">
        <v>613</v>
      </c>
      <c r="B215" s="447"/>
      <c r="C215" s="447"/>
      <c r="D215" s="447"/>
    </row>
    <row r="216" spans="1:4" ht="66" customHeight="1" x14ac:dyDescent="0.25">
      <c r="A216" s="459" t="s">
        <v>614</v>
      </c>
      <c r="B216" s="452"/>
      <c r="C216" s="452"/>
      <c r="D216" s="452"/>
    </row>
    <row r="217" spans="1:4" ht="9.75" customHeight="1" x14ac:dyDescent="0.25">
      <c r="A217" s="24"/>
      <c r="B217" s="37"/>
      <c r="C217" s="37"/>
      <c r="D217" s="37"/>
    </row>
    <row r="218" spans="1:4" ht="15" customHeight="1" x14ac:dyDescent="0.25">
      <c r="A218" s="463" t="s">
        <v>46</v>
      </c>
      <c r="B218" s="461"/>
      <c r="C218" s="461"/>
      <c r="D218" s="461"/>
    </row>
    <row r="219" spans="1:4" ht="7.5" customHeight="1" x14ac:dyDescent="0.25">
      <c r="A219" s="460"/>
      <c r="B219" s="461"/>
      <c r="C219" s="461"/>
      <c r="D219" s="461"/>
    </row>
    <row r="220" spans="1:4" ht="25.5" customHeight="1" x14ac:dyDescent="0.25">
      <c r="A220" s="460" t="s">
        <v>47</v>
      </c>
      <c r="B220" s="461"/>
      <c r="C220" s="461"/>
      <c r="D220" s="461"/>
    </row>
    <row r="221" spans="1:4" ht="12.75" customHeight="1" x14ac:dyDescent="0.2">
      <c r="A221" s="506" t="s">
        <v>48</v>
      </c>
      <c r="B221" s="485"/>
      <c r="C221" s="485"/>
      <c r="D221" s="485"/>
    </row>
    <row r="222" spans="1:4" ht="12.75" x14ac:dyDescent="0.2">
      <c r="A222" s="506" t="s">
        <v>49</v>
      </c>
      <c r="B222" s="485"/>
      <c r="C222" s="485"/>
      <c r="D222" s="485"/>
    </row>
    <row r="223" spans="1:4" ht="12.75" x14ac:dyDescent="0.2">
      <c r="A223" s="506" t="s">
        <v>50</v>
      </c>
      <c r="B223" s="485"/>
      <c r="C223" s="485"/>
      <c r="D223" s="485"/>
    </row>
    <row r="224" spans="1:4" ht="12.75" x14ac:dyDescent="0.2">
      <c r="A224" s="506" t="s">
        <v>494</v>
      </c>
      <c r="B224" s="485"/>
      <c r="C224" s="485"/>
      <c r="D224" s="485"/>
    </row>
    <row r="225" spans="1:4" ht="12.75" x14ac:dyDescent="0.2">
      <c r="A225" s="506" t="s">
        <v>51</v>
      </c>
      <c r="B225" s="485"/>
      <c r="C225" s="485"/>
      <c r="D225" s="485"/>
    </row>
    <row r="226" spans="1:4" ht="12.75" customHeight="1" x14ac:dyDescent="0.25">
      <c r="A226" s="507" t="s">
        <v>495</v>
      </c>
      <c r="B226" s="508"/>
      <c r="C226" s="508"/>
      <c r="D226" s="508"/>
    </row>
    <row r="227" spans="1:4" ht="12.75" customHeight="1" x14ac:dyDescent="0.25">
      <c r="A227" s="515" t="s">
        <v>496</v>
      </c>
      <c r="B227" s="516"/>
      <c r="C227" s="516"/>
      <c r="D227" s="516"/>
    </row>
    <row r="228" spans="1:4" ht="12.75" x14ac:dyDescent="0.2">
      <c r="A228" s="506" t="s">
        <v>52</v>
      </c>
      <c r="B228" s="485"/>
      <c r="C228" s="485"/>
      <c r="D228" s="485"/>
    </row>
    <row r="229" spans="1:4" ht="9.75" customHeight="1" x14ac:dyDescent="0.25">
      <c r="A229" s="460"/>
      <c r="B229" s="461"/>
      <c r="C229" s="461"/>
      <c r="D229" s="461"/>
    </row>
    <row r="230" spans="1:4" ht="15" customHeight="1" x14ac:dyDescent="0.25">
      <c r="A230" s="463" t="s">
        <v>53</v>
      </c>
      <c r="B230" s="461"/>
      <c r="C230" s="461"/>
      <c r="D230" s="461"/>
    </row>
    <row r="231" spans="1:4" ht="7.5" customHeight="1" x14ac:dyDescent="0.25">
      <c r="A231" s="460"/>
      <c r="B231" s="461"/>
      <c r="C231" s="461"/>
      <c r="D231" s="461"/>
    </row>
    <row r="232" spans="1:4" ht="64.5" customHeight="1" x14ac:dyDescent="0.25">
      <c r="A232" s="460" t="s">
        <v>497</v>
      </c>
      <c r="B232" s="461"/>
      <c r="C232" s="461"/>
      <c r="D232" s="461"/>
    </row>
    <row r="233" spans="1:4" ht="38.25" customHeight="1" x14ac:dyDescent="0.25">
      <c r="A233" s="460" t="s">
        <v>54</v>
      </c>
      <c r="B233" s="461"/>
      <c r="C233" s="461"/>
      <c r="D233" s="461"/>
    </row>
    <row r="234" spans="1:4" ht="9.75" customHeight="1" x14ac:dyDescent="0.25">
      <c r="A234" s="460"/>
      <c r="B234" s="461"/>
      <c r="C234" s="461"/>
      <c r="D234" s="461"/>
    </row>
    <row r="235" spans="1:4" ht="15" customHeight="1" x14ac:dyDescent="0.25">
      <c r="A235" s="463" t="s">
        <v>55</v>
      </c>
      <c r="B235" s="461"/>
      <c r="C235" s="461"/>
      <c r="D235" s="461"/>
    </row>
    <row r="236" spans="1:4" ht="7.5" customHeight="1" x14ac:dyDescent="0.25">
      <c r="A236" s="460"/>
      <c r="B236" s="461"/>
      <c r="C236" s="461"/>
      <c r="D236" s="461"/>
    </row>
    <row r="237" spans="1:4" ht="38.25" customHeight="1" x14ac:dyDescent="0.25">
      <c r="A237" s="460" t="s">
        <v>498</v>
      </c>
      <c r="B237" s="461"/>
      <c r="C237" s="461"/>
      <c r="D237" s="461"/>
    </row>
    <row r="238" spans="1:4" ht="38.25" customHeight="1" x14ac:dyDescent="0.25">
      <c r="A238" s="460" t="s">
        <v>499</v>
      </c>
      <c r="B238" s="461"/>
      <c r="C238" s="461"/>
      <c r="D238" s="461"/>
    </row>
    <row r="239" spans="1:4" ht="12.75" x14ac:dyDescent="0.25">
      <c r="A239" s="517" t="s">
        <v>56</v>
      </c>
      <c r="B239" s="461"/>
      <c r="C239" s="461"/>
      <c r="D239" s="461"/>
    </row>
    <row r="240" spans="1:4" ht="9.75" customHeight="1" x14ac:dyDescent="0.25">
      <c r="A240" s="36"/>
    </row>
    <row r="241" spans="1:4" ht="14.25" customHeight="1" x14ac:dyDescent="0.25">
      <c r="A241" s="520" t="s">
        <v>57</v>
      </c>
      <c r="B241" s="503"/>
      <c r="C241" s="503"/>
      <c r="D241" s="503"/>
    </row>
    <row r="242" spans="1:4" ht="7.5" customHeight="1" x14ac:dyDescent="0.25">
      <c r="A242" s="502"/>
      <c r="B242" s="503"/>
      <c r="C242" s="503"/>
      <c r="D242" s="503"/>
    </row>
    <row r="243" spans="1:4" ht="55.5" customHeight="1" x14ac:dyDescent="0.25">
      <c r="A243" s="502" t="s">
        <v>58</v>
      </c>
      <c r="B243" s="503"/>
      <c r="C243" s="503"/>
      <c r="D243" s="503"/>
    </row>
    <row r="244" spans="1:4" ht="25.5" customHeight="1" x14ac:dyDescent="0.25">
      <c r="A244" s="519" t="s">
        <v>59</v>
      </c>
      <c r="B244" s="503"/>
      <c r="C244" s="503"/>
      <c r="D244" s="503"/>
    </row>
    <row r="245" spans="1:4" ht="7.5" customHeight="1" x14ac:dyDescent="0.25">
      <c r="A245" s="502"/>
      <c r="B245" s="503"/>
      <c r="C245" s="503"/>
      <c r="D245" s="503"/>
    </row>
    <row r="246" spans="1:4" ht="12.75" customHeight="1" x14ac:dyDescent="0.25">
      <c r="A246" s="504" t="s">
        <v>60</v>
      </c>
      <c r="B246" s="505"/>
      <c r="C246" s="505"/>
      <c r="D246" s="505"/>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30" t="s">
        <v>598</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63" t="s">
        <v>81</v>
      </c>
      <c r="B260" s="461"/>
      <c r="C260" s="461"/>
      <c r="D260" s="461"/>
    </row>
    <row r="261" spans="1:13" ht="7.5" customHeight="1" x14ac:dyDescent="0.25">
      <c r="A261" s="495"/>
      <c r="B261" s="461"/>
      <c r="C261" s="461"/>
      <c r="D261" s="461"/>
    </row>
    <row r="262" spans="1:13" ht="38.25" customHeight="1" x14ac:dyDescent="0.25">
      <c r="A262" s="462" t="s">
        <v>82</v>
      </c>
      <c r="B262" s="465"/>
      <c r="C262" s="465"/>
      <c r="D262" s="465"/>
      <c r="M262" s="15"/>
    </row>
    <row r="263" spans="1:13" ht="25.5" customHeight="1" x14ac:dyDescent="0.25">
      <c r="A263" s="462" t="s">
        <v>83</v>
      </c>
      <c r="B263" s="465"/>
      <c r="C263" s="465"/>
      <c r="D263" s="465"/>
      <c r="M263" s="15"/>
    </row>
    <row r="264" spans="1:13" ht="51" customHeight="1" x14ac:dyDescent="0.25">
      <c r="A264" s="462" t="s">
        <v>84</v>
      </c>
      <c r="B264" s="465"/>
      <c r="C264" s="465"/>
      <c r="D264" s="465"/>
      <c r="M264" s="15"/>
    </row>
    <row r="265" spans="1:13" ht="12.75" x14ac:dyDescent="0.25">
      <c r="A265" s="514" t="s">
        <v>85</v>
      </c>
      <c r="B265" s="477"/>
      <c r="C265" s="477"/>
      <c r="D265" s="477"/>
      <c r="M265" s="15"/>
    </row>
    <row r="266" spans="1:13" ht="7.5" customHeight="1" x14ac:dyDescent="0.25">
      <c r="A266" s="495"/>
      <c r="B266" s="461"/>
      <c r="C266" s="461"/>
      <c r="D266" s="461"/>
      <c r="M266" s="15"/>
    </row>
    <row r="267" spans="1:13" ht="76.5" customHeight="1" x14ac:dyDescent="0.25">
      <c r="A267" s="462" t="s">
        <v>86</v>
      </c>
      <c r="B267" s="465"/>
      <c r="C267" s="465"/>
      <c r="D267" s="465"/>
      <c r="M267" s="15"/>
    </row>
    <row r="268" spans="1:13" ht="9.75" customHeight="1" x14ac:dyDescent="0.25">
      <c r="A268" s="495"/>
      <c r="B268" s="461"/>
      <c r="C268" s="461"/>
      <c r="D268" s="461"/>
      <c r="M268" s="15"/>
    </row>
    <row r="269" spans="1:13" ht="15" customHeight="1" x14ac:dyDescent="0.25">
      <c r="A269" s="463" t="s">
        <v>599</v>
      </c>
      <c r="B269" s="461"/>
      <c r="C269" s="461"/>
      <c r="D269" s="461"/>
    </row>
    <row r="270" spans="1:13" ht="7.5" customHeight="1" x14ac:dyDescent="0.25">
      <c r="A270" s="495"/>
      <c r="B270" s="461"/>
      <c r="C270" s="461"/>
      <c r="D270" s="461"/>
    </row>
    <row r="271" spans="1:13" ht="51" customHeight="1" x14ac:dyDescent="0.25">
      <c r="A271" s="462" t="s">
        <v>87</v>
      </c>
      <c r="B271" s="465"/>
      <c r="C271" s="465"/>
      <c r="D271" s="465"/>
    </row>
    <row r="272" spans="1:13" ht="65.25" customHeight="1" x14ac:dyDescent="0.25">
      <c r="A272" s="462" t="s">
        <v>600</v>
      </c>
      <c r="B272" s="466"/>
      <c r="C272" s="466"/>
      <c r="D272" s="466"/>
    </row>
    <row r="273" spans="1:256" ht="12.75" x14ac:dyDescent="0.25">
      <c r="A273" s="514" t="s">
        <v>85</v>
      </c>
      <c r="B273" s="477"/>
      <c r="C273" s="477"/>
      <c r="D273" s="477"/>
    </row>
    <row r="274" spans="1:256" ht="25.5" customHeight="1" x14ac:dyDescent="0.25">
      <c r="A274" s="462" t="s">
        <v>88</v>
      </c>
      <c r="B274" s="465"/>
      <c r="C274" s="465"/>
      <c r="D274" s="465"/>
    </row>
    <row r="275" spans="1:256" ht="9.75" customHeight="1" x14ac:dyDescent="0.25">
      <c r="A275" s="495"/>
      <c r="B275" s="461"/>
      <c r="C275" s="461"/>
      <c r="D275" s="461"/>
    </row>
    <row r="276" spans="1:256" ht="15" customHeight="1" x14ac:dyDescent="0.25">
      <c r="A276" s="463" t="s">
        <v>89</v>
      </c>
      <c r="B276" s="461"/>
      <c r="C276" s="461"/>
      <c r="D276" s="461"/>
    </row>
    <row r="277" spans="1:256" ht="7.5" customHeight="1" x14ac:dyDescent="0.25">
      <c r="A277" s="495"/>
      <c r="B277" s="461"/>
      <c r="C277" s="461"/>
      <c r="D277" s="461"/>
    </row>
    <row r="278" spans="1:256" ht="38.25" customHeight="1" x14ac:dyDescent="0.25">
      <c r="A278" s="459" t="s">
        <v>607</v>
      </c>
      <c r="B278" s="474"/>
      <c r="C278" s="474"/>
      <c r="D278" s="474"/>
    </row>
    <row r="279" spans="1:256" ht="25.5" customHeight="1" x14ac:dyDescent="0.25">
      <c r="A279" s="483" t="s">
        <v>500</v>
      </c>
      <c r="B279" s="474"/>
      <c r="C279" s="474"/>
      <c r="D279" s="474"/>
    </row>
    <row r="280" spans="1:256" ht="15.75" customHeight="1" x14ac:dyDescent="0.25">
      <c r="A280" s="513" t="s">
        <v>501</v>
      </c>
      <c r="B280" s="513"/>
      <c r="C280" s="513"/>
      <c r="D280" s="513"/>
    </row>
    <row r="281" spans="1:256" ht="6.75" customHeight="1" x14ac:dyDescent="0.25">
      <c r="A281" s="254"/>
      <c r="B281" s="254"/>
      <c r="C281" s="254"/>
      <c r="D281" s="254"/>
    </row>
    <row r="282" spans="1:256" ht="28.5" customHeight="1" x14ac:dyDescent="0.25">
      <c r="A282" s="483" t="s">
        <v>502</v>
      </c>
      <c r="B282" s="474"/>
      <c r="C282" s="474"/>
      <c r="D282" s="474"/>
    </row>
    <row r="283" spans="1:256" ht="12.75" customHeight="1" x14ac:dyDescent="0.25">
      <c r="A283" s="509" t="s">
        <v>56</v>
      </c>
      <c r="B283" s="489"/>
      <c r="C283" s="489"/>
      <c r="D283" s="489"/>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2" t="s">
        <v>90</v>
      </c>
      <c r="B285" s="465"/>
      <c r="C285" s="465"/>
      <c r="D285" s="465"/>
      <c r="F285" s="48"/>
    </row>
    <row r="286" spans="1:256" ht="7.5" customHeight="1" x14ac:dyDescent="0.25">
      <c r="A286" s="49"/>
      <c r="B286" s="37"/>
      <c r="C286" s="37"/>
      <c r="D286" s="37"/>
      <c r="F286" s="48"/>
    </row>
    <row r="287" spans="1:256" ht="12.75" customHeight="1" x14ac:dyDescent="0.25">
      <c r="A287" s="495" t="s">
        <v>91</v>
      </c>
      <c r="B287" s="461"/>
      <c r="C287" s="461"/>
      <c r="D287" s="461"/>
      <c r="F287" s="48"/>
    </row>
    <row r="288" spans="1:256" ht="12.75" customHeight="1" x14ac:dyDescent="0.25">
      <c r="A288" s="50" t="s">
        <v>24</v>
      </c>
      <c r="B288" s="497" t="s">
        <v>92</v>
      </c>
      <c r="C288" s="497"/>
      <c r="D288" s="497"/>
      <c r="F288" s="48"/>
    </row>
    <row r="289" spans="1:6" ht="38.25" customHeight="1" x14ac:dyDescent="0.25">
      <c r="A289" s="49"/>
      <c r="B289" s="466" t="s">
        <v>93</v>
      </c>
      <c r="C289" s="465"/>
      <c r="D289" s="465"/>
      <c r="F289" s="48"/>
    </row>
    <row r="290" spans="1:6" ht="15" x14ac:dyDescent="0.25">
      <c r="A290" s="49" t="s">
        <v>24</v>
      </c>
      <c r="B290" s="512" t="s">
        <v>601</v>
      </c>
      <c r="C290" s="511"/>
      <c r="D290" s="511"/>
      <c r="F290" s="48"/>
    </row>
    <row r="291" spans="1:6" ht="39.75" customHeight="1" x14ac:dyDescent="0.25">
      <c r="A291" s="331"/>
      <c r="B291" s="511" t="s">
        <v>606</v>
      </c>
      <c r="C291" s="511"/>
      <c r="D291" s="511"/>
      <c r="F291" s="48"/>
    </row>
    <row r="292" spans="1:6" ht="12.75" customHeight="1" x14ac:dyDescent="0.25">
      <c r="A292" s="50" t="s">
        <v>24</v>
      </c>
      <c r="B292" s="501" t="s">
        <v>94</v>
      </c>
      <c r="C292" s="501"/>
      <c r="D292" s="501"/>
      <c r="F292" s="48"/>
    </row>
    <row r="293" spans="1:6" ht="55.5" customHeight="1" x14ac:dyDescent="0.25">
      <c r="A293" s="50"/>
      <c r="B293" s="466" t="s">
        <v>605</v>
      </c>
      <c r="C293" s="465"/>
      <c r="D293" s="465"/>
      <c r="F293" s="48"/>
    </row>
    <row r="294" spans="1:6" ht="9.75" customHeight="1" x14ac:dyDescent="0.25">
      <c r="A294" s="495"/>
      <c r="B294" s="461"/>
      <c r="C294" s="461"/>
      <c r="D294" s="461"/>
    </row>
    <row r="295" spans="1:6" ht="15" customHeight="1" x14ac:dyDescent="0.25">
      <c r="A295" s="451" t="s">
        <v>503</v>
      </c>
      <c r="B295" s="452"/>
      <c r="C295" s="452"/>
      <c r="D295" s="452"/>
    </row>
    <row r="296" spans="1:6" ht="5.25" customHeight="1" x14ac:dyDescent="0.25">
      <c r="A296" s="495"/>
      <c r="B296" s="461"/>
      <c r="C296" s="461"/>
      <c r="D296" s="461"/>
    </row>
    <row r="297" spans="1:6" ht="25.5" customHeight="1" x14ac:dyDescent="0.25">
      <c r="A297" s="462" t="s">
        <v>95</v>
      </c>
      <c r="B297" s="465"/>
      <c r="C297" s="465"/>
      <c r="D297" s="465"/>
    </row>
    <row r="298" spans="1:6" ht="12.75" customHeight="1" x14ac:dyDescent="0.25">
      <c r="A298" s="496" t="s">
        <v>96</v>
      </c>
      <c r="B298" s="497"/>
      <c r="C298" s="497"/>
      <c r="D298" s="497"/>
    </row>
    <row r="299" spans="1:6" ht="13.5" customHeight="1" x14ac:dyDescent="0.25">
      <c r="A299" s="498" t="s">
        <v>97</v>
      </c>
      <c r="B299" s="461"/>
      <c r="C299" s="461"/>
      <c r="D299" s="461"/>
    </row>
    <row r="300" spans="1:6" ht="25.5" customHeight="1" x14ac:dyDescent="0.25">
      <c r="A300" s="498" t="s">
        <v>98</v>
      </c>
      <c r="B300" s="461"/>
      <c r="C300" s="461"/>
      <c r="D300" s="461"/>
    </row>
    <row r="301" spans="1:6" ht="12.75" customHeight="1" x14ac:dyDescent="0.25">
      <c r="A301" s="496" t="s">
        <v>99</v>
      </c>
      <c r="B301" s="497"/>
      <c r="C301" s="497"/>
      <c r="D301" s="497"/>
    </row>
    <row r="302" spans="1:6" ht="12.75" customHeight="1" x14ac:dyDescent="0.25">
      <c r="A302" s="498" t="s">
        <v>100</v>
      </c>
      <c r="B302" s="461"/>
      <c r="C302" s="461"/>
      <c r="D302" s="461"/>
    </row>
    <row r="303" spans="1:6" ht="12.75" customHeight="1" x14ac:dyDescent="0.25">
      <c r="A303" s="496" t="s">
        <v>101</v>
      </c>
      <c r="B303" s="497"/>
      <c r="C303" s="497"/>
      <c r="D303" s="497"/>
    </row>
    <row r="304" spans="1:6" ht="12.75" customHeight="1" x14ac:dyDescent="0.25">
      <c r="A304" s="498" t="s">
        <v>102</v>
      </c>
      <c r="B304" s="461"/>
      <c r="C304" s="461"/>
      <c r="D304" s="461"/>
    </row>
    <row r="305" spans="1:4" ht="12.75" customHeight="1" x14ac:dyDescent="0.25">
      <c r="A305" s="495"/>
      <c r="B305" s="461"/>
      <c r="C305" s="461"/>
      <c r="D305" s="461"/>
    </row>
    <row r="306" spans="1:4" ht="38.25" customHeight="1" x14ac:dyDescent="0.25">
      <c r="A306" s="462" t="s">
        <v>103</v>
      </c>
      <c r="B306" s="465"/>
      <c r="C306" s="465"/>
      <c r="D306" s="465"/>
    </row>
    <row r="307" spans="1:4" ht="6" customHeight="1" x14ac:dyDescent="0.25">
      <c r="A307" s="495"/>
      <c r="B307" s="461"/>
      <c r="C307" s="461"/>
      <c r="D307" s="461"/>
    </row>
    <row r="308" spans="1:4" ht="82.5" customHeight="1" x14ac:dyDescent="0.25">
      <c r="A308" s="462" t="s">
        <v>104</v>
      </c>
      <c r="B308" s="465"/>
      <c r="C308" s="465"/>
      <c r="D308" s="465"/>
    </row>
    <row r="309" spans="1:4" ht="25.5" customHeight="1" x14ac:dyDescent="0.25">
      <c r="A309" s="462" t="s">
        <v>105</v>
      </c>
      <c r="B309" s="465"/>
      <c r="C309" s="465"/>
      <c r="D309" s="465"/>
    </row>
    <row r="310" spans="1:4" ht="6" customHeight="1" x14ac:dyDescent="0.25">
      <c r="A310" s="495"/>
      <c r="B310" s="461"/>
      <c r="C310" s="461"/>
      <c r="D310" s="461"/>
    </row>
    <row r="311" spans="1:4" ht="30" customHeight="1" x14ac:dyDescent="0.25">
      <c r="A311" s="462" t="s">
        <v>106</v>
      </c>
      <c r="B311" s="465"/>
      <c r="C311" s="465"/>
      <c r="D311" s="465"/>
    </row>
    <row r="312" spans="1:4" ht="12.75" customHeight="1" x14ac:dyDescent="0.25">
      <c r="A312" s="495"/>
      <c r="B312" s="461"/>
      <c r="C312" s="461"/>
      <c r="D312" s="461"/>
    </row>
    <row r="313" spans="1:4" ht="12.75" customHeight="1" x14ac:dyDescent="0.25">
      <c r="A313" s="451" t="s">
        <v>504</v>
      </c>
      <c r="B313" s="452"/>
      <c r="C313" s="452"/>
      <c r="D313" s="452"/>
    </row>
    <row r="314" spans="1:4" ht="10.5" customHeight="1" x14ac:dyDescent="0.25">
      <c r="A314" s="499"/>
      <c r="B314" s="452"/>
      <c r="C314" s="452"/>
      <c r="D314" s="452"/>
    </row>
    <row r="315" spans="1:4" ht="42" customHeight="1" x14ac:dyDescent="0.25">
      <c r="A315" s="446" t="s">
        <v>645</v>
      </c>
      <c r="B315" s="449"/>
      <c r="C315" s="449"/>
      <c r="D315" s="449"/>
    </row>
    <row r="316" spans="1:4" ht="56.25" customHeight="1" x14ac:dyDescent="0.25">
      <c r="A316" s="459" t="s">
        <v>588</v>
      </c>
      <c r="B316" s="452"/>
      <c r="C316" s="452"/>
      <c r="D316" s="452"/>
    </row>
    <row r="317" spans="1:4" ht="8.25" customHeight="1" x14ac:dyDescent="0.25">
      <c r="A317" s="263"/>
      <c r="B317" s="318"/>
      <c r="C317" s="318"/>
      <c r="D317" s="318"/>
    </row>
    <row r="318" spans="1:4" ht="68.25" customHeight="1" x14ac:dyDescent="0.25">
      <c r="A318" s="459" t="s">
        <v>589</v>
      </c>
      <c r="B318" s="474"/>
      <c r="C318" s="474"/>
      <c r="D318" s="474"/>
    </row>
    <row r="319" spans="1:4" ht="63" customHeight="1" x14ac:dyDescent="0.25">
      <c r="A319" s="446" t="s">
        <v>590</v>
      </c>
      <c r="B319" s="449"/>
      <c r="C319" s="449"/>
      <c r="D319" s="449"/>
    </row>
    <row r="320" spans="1:4" ht="8.25" customHeight="1" x14ac:dyDescent="0.25">
      <c r="A320" s="499"/>
      <c r="B320" s="452"/>
      <c r="C320" s="452"/>
      <c r="D320" s="452"/>
    </row>
    <row r="321" spans="1:4" ht="52.5" customHeight="1" x14ac:dyDescent="0.25">
      <c r="A321" s="446" t="s">
        <v>591</v>
      </c>
      <c r="B321" s="449"/>
      <c r="C321" s="449"/>
      <c r="D321" s="449"/>
    </row>
    <row r="322" spans="1:4" ht="7.5" customHeight="1" x14ac:dyDescent="0.25">
      <c r="A322" s="499"/>
      <c r="B322" s="452"/>
      <c r="C322" s="452"/>
      <c r="D322" s="452"/>
    </row>
    <row r="323" spans="1:4" ht="42.75" customHeight="1" x14ac:dyDescent="0.25">
      <c r="A323" s="480" t="s">
        <v>592</v>
      </c>
      <c r="B323" s="481"/>
      <c r="C323" s="481"/>
      <c r="D323" s="481"/>
    </row>
    <row r="324" spans="1:4" ht="30.75" customHeight="1" x14ac:dyDescent="0.25">
      <c r="A324" s="500"/>
      <c r="B324" s="481"/>
      <c r="C324" s="481"/>
      <c r="D324" s="481"/>
    </row>
    <row r="325" spans="1:4" ht="12.75" customHeight="1" x14ac:dyDescent="0.25">
      <c r="A325" s="495"/>
      <c r="B325" s="461"/>
      <c r="C325" s="461"/>
      <c r="D325" s="461"/>
    </row>
    <row r="326" spans="1:4" ht="12.75" customHeight="1" x14ac:dyDescent="0.25">
      <c r="A326" s="495"/>
      <c r="B326" s="461"/>
      <c r="C326" s="461"/>
      <c r="D326" s="461"/>
    </row>
    <row r="327" spans="1:4" ht="12.75" customHeight="1" x14ac:dyDescent="0.25">
      <c r="A327" s="495"/>
      <c r="B327" s="461"/>
      <c r="C327" s="461"/>
      <c r="D327" s="461"/>
    </row>
    <row r="328" spans="1:4" ht="12.75" customHeight="1" x14ac:dyDescent="0.25">
      <c r="A328" s="495"/>
      <c r="B328" s="461"/>
      <c r="C328" s="461"/>
      <c r="D328" s="461"/>
    </row>
    <row r="329" spans="1:4" ht="12.75" customHeight="1" x14ac:dyDescent="0.25">
      <c r="A329" s="495"/>
      <c r="B329" s="461"/>
      <c r="C329" s="461"/>
      <c r="D329" s="461"/>
    </row>
    <row r="330" spans="1:4" ht="12.75" customHeight="1" x14ac:dyDescent="0.25">
      <c r="A330" s="495"/>
      <c r="B330" s="461"/>
      <c r="C330" s="461"/>
      <c r="D330" s="461"/>
    </row>
    <row r="331" spans="1:4" ht="12.75" customHeight="1" x14ac:dyDescent="0.25">
      <c r="A331" s="495"/>
      <c r="B331" s="461"/>
      <c r="C331" s="461"/>
      <c r="D331" s="461"/>
    </row>
    <row r="332" spans="1:4" ht="12.75" customHeight="1" x14ac:dyDescent="0.25">
      <c r="A332" s="495"/>
      <c r="B332" s="461"/>
      <c r="C332" s="461"/>
      <c r="D332" s="461"/>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 ref="A227:D227"/>
    <mergeCell ref="A230:D230"/>
    <mergeCell ref="A319:D319"/>
    <mergeCell ref="A267:D267"/>
    <mergeCell ref="A268:D268"/>
    <mergeCell ref="A269:D269"/>
    <mergeCell ref="A270:D270"/>
    <mergeCell ref="A271:D271"/>
    <mergeCell ref="A272:D272"/>
    <mergeCell ref="A273:D273"/>
    <mergeCell ref="A264:D264"/>
    <mergeCell ref="A239:D239"/>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B31" sqref="B31:I31"/>
    </sheetView>
  </sheetViews>
  <sheetFormatPr defaultColWidth="9.140625"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28" t="s">
        <v>107</v>
      </c>
      <c r="C1" s="528"/>
      <c r="D1" s="528"/>
      <c r="E1" s="528"/>
      <c r="F1" s="528"/>
      <c r="G1" s="528"/>
      <c r="H1" s="528"/>
      <c r="I1" s="528"/>
      <c r="J1" s="52"/>
    </row>
    <row r="2" spans="1:13" ht="15" customHeight="1" x14ac:dyDescent="0.25">
      <c r="A2" s="52"/>
      <c r="B2" s="528" t="s">
        <v>108</v>
      </c>
      <c r="C2" s="528"/>
      <c r="D2" s="528"/>
      <c r="E2" s="528"/>
      <c r="F2" s="528"/>
      <c r="G2" s="528"/>
      <c r="H2" s="528"/>
      <c r="I2" s="528"/>
      <c r="J2" s="52"/>
    </row>
    <row r="3" spans="1:13" ht="15" customHeight="1" x14ac:dyDescent="0.25">
      <c r="A3" s="52"/>
      <c r="B3" s="528" t="str">
        <f>"Provincie "&amp;C5</f>
        <v>Provincie Provincie Limburg</v>
      </c>
      <c r="C3" s="528"/>
      <c r="D3" s="528"/>
      <c r="E3" s="528"/>
      <c r="F3" s="528"/>
      <c r="G3" s="528"/>
      <c r="H3" s="528"/>
      <c r="I3" s="528"/>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29" t="s">
        <v>902</v>
      </c>
      <c r="D5" s="530"/>
      <c r="E5" s="58"/>
      <c r="F5" s="58"/>
      <c r="G5" s="59"/>
      <c r="H5" s="59" t="s">
        <v>109</v>
      </c>
      <c r="I5" s="60" t="str">
        <f>IF(OR(C5 = "aaaa",C6="xxxx"),"Gegevens invullen!","KRD"&amp;RIGHT(C7,2)&amp;C8&amp;"03"&amp;C6&amp;".xlsx")</f>
        <v>KRD255030011.xlsx</v>
      </c>
      <c r="J5" s="56"/>
    </row>
    <row r="6" spans="1:13" s="65" customFormat="1" ht="15" customHeight="1" x14ac:dyDescent="0.25">
      <c r="A6" s="61"/>
      <c r="B6" s="62" t="s">
        <v>577</v>
      </c>
      <c r="C6" s="531" t="s">
        <v>901</v>
      </c>
      <c r="D6" s="532"/>
      <c r="E6" s="63"/>
      <c r="F6" s="63"/>
      <c r="G6" s="64"/>
      <c r="H6" s="64"/>
      <c r="I6" s="64"/>
      <c r="J6" s="61"/>
    </row>
    <row r="7" spans="1:13" ht="15" customHeight="1" x14ac:dyDescent="0.25">
      <c r="A7" s="66"/>
      <c r="B7" s="67" t="s">
        <v>110</v>
      </c>
      <c r="C7" s="533">
        <v>2025</v>
      </c>
      <c r="D7" s="534"/>
      <c r="E7" s="68"/>
      <c r="F7" s="69"/>
      <c r="G7" s="69"/>
      <c r="H7" s="70"/>
      <c r="I7" s="71"/>
      <c r="J7" s="66"/>
    </row>
    <row r="8" spans="1:13" ht="15" customHeight="1" x14ac:dyDescent="0.25">
      <c r="A8" s="72"/>
      <c r="B8" s="67" t="s">
        <v>111</v>
      </c>
      <c r="C8" s="535">
        <v>5</v>
      </c>
      <c r="D8" s="536"/>
      <c r="E8" s="70"/>
      <c r="F8" s="73" t="s">
        <v>112</v>
      </c>
      <c r="G8" s="69"/>
      <c r="H8" s="69"/>
      <c r="I8" s="71"/>
      <c r="J8" s="72"/>
    </row>
    <row r="9" spans="1:13" s="78" customFormat="1" ht="15" customHeight="1" x14ac:dyDescent="0.25">
      <c r="A9" s="72"/>
      <c r="B9" s="74"/>
      <c r="C9" s="540" t="s">
        <v>113</v>
      </c>
      <c r="D9" s="540"/>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583</v>
      </c>
      <c r="C11" s="537" t="s">
        <v>611</v>
      </c>
      <c r="D11" s="538"/>
      <c r="E11" s="538"/>
      <c r="F11" s="538"/>
      <c r="G11" s="538"/>
      <c r="H11" s="538"/>
      <c r="I11" s="538"/>
      <c r="J11" s="328"/>
    </row>
    <row r="12" spans="1:13" s="82" customFormat="1" ht="15" customHeight="1" x14ac:dyDescent="0.2">
      <c r="A12" s="81"/>
      <c r="B12" s="327" t="s">
        <v>602</v>
      </c>
      <c r="C12" s="541" t="s">
        <v>903</v>
      </c>
      <c r="D12" s="541"/>
      <c r="E12" s="541"/>
      <c r="F12" s="541"/>
      <c r="G12" s="541"/>
      <c r="H12" s="541"/>
      <c r="I12" s="541"/>
      <c r="J12" s="81"/>
    </row>
    <row r="13" spans="1:13" s="1" customFormat="1" ht="15" customHeight="1" x14ac:dyDescent="0.2">
      <c r="A13" s="81"/>
      <c r="B13" s="332" t="s">
        <v>578</v>
      </c>
      <c r="C13" s="539" t="s">
        <v>904</v>
      </c>
      <c r="D13" s="539"/>
      <c r="E13" s="539"/>
      <c r="F13" s="539"/>
      <c r="G13" s="539"/>
      <c r="H13" s="539"/>
      <c r="I13" s="539"/>
      <c r="J13" s="81"/>
    </row>
    <row r="14" spans="1:13" s="1" customFormat="1" ht="15" customHeight="1" x14ac:dyDescent="0.2">
      <c r="A14" s="81"/>
      <c r="B14" s="332" t="s">
        <v>579</v>
      </c>
      <c r="C14" s="539" t="s">
        <v>905</v>
      </c>
      <c r="D14" s="539"/>
      <c r="E14" s="539"/>
      <c r="F14" s="539"/>
      <c r="G14" s="539"/>
      <c r="H14" s="539"/>
      <c r="I14" s="539"/>
      <c r="J14" s="81"/>
    </row>
    <row r="15" spans="1:13" s="1" customFormat="1" ht="15" customHeight="1" x14ac:dyDescent="0.2">
      <c r="A15" s="81"/>
      <c r="B15" s="332" t="s">
        <v>580</v>
      </c>
      <c r="C15" s="539" t="s">
        <v>906</v>
      </c>
      <c r="D15" s="539"/>
      <c r="E15" s="539"/>
      <c r="F15" s="539"/>
      <c r="G15" s="539"/>
      <c r="H15" s="539"/>
      <c r="I15" s="539"/>
      <c r="J15" s="81"/>
    </row>
    <row r="16" spans="1:13" s="1" customFormat="1" ht="15" customHeight="1" x14ac:dyDescent="0.2">
      <c r="A16" s="81"/>
      <c r="B16" s="332" t="s">
        <v>581</v>
      </c>
      <c r="C16" s="582" t="s">
        <v>907</v>
      </c>
      <c r="D16" s="539"/>
      <c r="E16" s="539"/>
      <c r="F16" s="539"/>
      <c r="G16" s="539"/>
      <c r="H16" s="539"/>
      <c r="I16" s="539"/>
      <c r="J16" s="81"/>
    </row>
    <row r="17" spans="1:10" s="1" customFormat="1" ht="15" customHeight="1" x14ac:dyDescent="0.2">
      <c r="A17" s="81"/>
      <c r="B17" s="332" t="s">
        <v>582</v>
      </c>
      <c r="C17" s="543">
        <v>46195</v>
      </c>
      <c r="D17" s="543"/>
      <c r="E17" s="543"/>
      <c r="F17" s="543"/>
      <c r="G17" s="543"/>
      <c r="H17" s="543"/>
      <c r="I17" s="543"/>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114</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42"/>
      <c r="C22" s="542"/>
      <c r="D22" s="542"/>
      <c r="E22" s="542"/>
      <c r="F22" s="542"/>
      <c r="G22" s="542"/>
      <c r="H22" s="542"/>
      <c r="I22" s="542"/>
      <c r="J22" s="84"/>
    </row>
    <row r="23" spans="1:10" ht="15" customHeight="1" x14ac:dyDescent="0.25">
      <c r="A23" s="84"/>
      <c r="B23" s="525"/>
      <c r="C23" s="525"/>
      <c r="D23" s="525"/>
      <c r="E23" s="525"/>
      <c r="F23" s="525"/>
      <c r="G23" s="525"/>
      <c r="H23" s="525"/>
      <c r="I23" s="525"/>
      <c r="J23" s="84"/>
    </row>
    <row r="24" spans="1:10" ht="15" customHeight="1" x14ac:dyDescent="0.25">
      <c r="A24" s="84"/>
      <c r="B24" s="525"/>
      <c r="C24" s="525"/>
      <c r="D24" s="525"/>
      <c r="E24" s="525"/>
      <c r="F24" s="525"/>
      <c r="G24" s="525"/>
      <c r="H24" s="525"/>
      <c r="I24" s="525"/>
      <c r="J24" s="84"/>
    </row>
    <row r="25" spans="1:10" ht="15" customHeight="1" x14ac:dyDescent="0.25">
      <c r="A25" s="84"/>
      <c r="B25" s="525"/>
      <c r="C25" s="525"/>
      <c r="D25" s="525"/>
      <c r="E25" s="525"/>
      <c r="F25" s="525"/>
      <c r="G25" s="525"/>
      <c r="H25" s="525"/>
      <c r="I25" s="525"/>
      <c r="J25" s="84"/>
    </row>
    <row r="26" spans="1:10" ht="15" customHeight="1" x14ac:dyDescent="0.25">
      <c r="A26" s="84"/>
      <c r="B26" s="525"/>
      <c r="C26" s="525"/>
      <c r="D26" s="525"/>
      <c r="E26" s="525"/>
      <c r="F26" s="525"/>
      <c r="G26" s="525"/>
      <c r="H26" s="525"/>
      <c r="I26" s="525"/>
      <c r="J26" s="84"/>
    </row>
    <row r="27" spans="1:10" ht="15" customHeight="1" x14ac:dyDescent="0.25">
      <c r="A27" s="84"/>
      <c r="B27" s="525"/>
      <c r="C27" s="525"/>
      <c r="D27" s="525"/>
      <c r="E27" s="525"/>
      <c r="F27" s="525"/>
      <c r="G27" s="525"/>
      <c r="H27" s="525"/>
      <c r="I27" s="525"/>
      <c r="J27" s="84"/>
    </row>
    <row r="28" spans="1:10" ht="15" customHeight="1" x14ac:dyDescent="0.25">
      <c r="A28" s="84"/>
      <c r="B28" s="525"/>
      <c r="C28" s="525"/>
      <c r="D28" s="525"/>
      <c r="E28" s="525"/>
      <c r="F28" s="525"/>
      <c r="G28" s="525"/>
      <c r="H28" s="525"/>
      <c r="I28" s="525"/>
      <c r="J28" s="84"/>
    </row>
    <row r="29" spans="1:10" ht="15" customHeight="1" x14ac:dyDescent="0.25">
      <c r="A29" s="84"/>
      <c r="B29" s="525"/>
      <c r="C29" s="525"/>
      <c r="D29" s="525"/>
      <c r="E29" s="525"/>
      <c r="F29" s="525"/>
      <c r="G29" s="525"/>
      <c r="H29" s="525"/>
      <c r="I29" s="525"/>
      <c r="J29" s="84"/>
    </row>
    <row r="30" spans="1:10" ht="15" customHeight="1" x14ac:dyDescent="0.25">
      <c r="A30" s="84"/>
      <c r="B30" s="525"/>
      <c r="C30" s="525"/>
      <c r="D30" s="525"/>
      <c r="E30" s="525"/>
      <c r="F30" s="525"/>
      <c r="G30" s="525"/>
      <c r="H30" s="525"/>
      <c r="I30" s="525"/>
      <c r="J30" s="84"/>
    </row>
    <row r="31" spans="1:10" ht="15" customHeight="1" x14ac:dyDescent="0.25">
      <c r="A31" s="84"/>
      <c r="B31" s="525"/>
      <c r="C31" s="525"/>
      <c r="D31" s="525"/>
      <c r="E31" s="525"/>
      <c r="F31" s="525"/>
      <c r="G31" s="525"/>
      <c r="H31" s="525"/>
      <c r="I31" s="525"/>
      <c r="J31" s="84"/>
    </row>
    <row r="32" spans="1:10" ht="15" customHeight="1" x14ac:dyDescent="0.25">
      <c r="A32" s="84"/>
      <c r="B32" s="525"/>
      <c r="C32" s="525"/>
      <c r="D32" s="525"/>
      <c r="E32" s="525"/>
      <c r="F32" s="525"/>
      <c r="G32" s="525"/>
      <c r="H32" s="525"/>
      <c r="I32" s="525"/>
      <c r="J32" s="84"/>
    </row>
    <row r="33" spans="1:18" ht="15" customHeight="1" x14ac:dyDescent="0.25">
      <c r="A33" s="84"/>
      <c r="B33" s="525"/>
      <c r="C33" s="525"/>
      <c r="D33" s="525"/>
      <c r="E33" s="525"/>
      <c r="F33" s="525"/>
      <c r="G33" s="525"/>
      <c r="H33" s="525"/>
      <c r="I33" s="525"/>
      <c r="J33" s="84"/>
    </row>
    <row r="34" spans="1:18" ht="15" customHeight="1" x14ac:dyDescent="0.25">
      <c r="A34" s="84"/>
      <c r="B34" s="525"/>
      <c r="C34" s="525"/>
      <c r="D34" s="525"/>
      <c r="E34" s="525"/>
      <c r="F34" s="525"/>
      <c r="G34" s="525"/>
      <c r="H34" s="525"/>
      <c r="I34" s="525"/>
      <c r="J34" s="84"/>
    </row>
    <row r="35" spans="1:18" ht="15" customHeight="1" x14ac:dyDescent="0.25">
      <c r="A35" s="84"/>
      <c r="B35" s="525"/>
      <c r="C35" s="525"/>
      <c r="D35" s="525"/>
      <c r="E35" s="525"/>
      <c r="F35" s="525"/>
      <c r="G35" s="525"/>
      <c r="H35" s="525"/>
      <c r="I35" s="525"/>
      <c r="J35" s="84"/>
    </row>
    <row r="36" spans="1:18" ht="15" customHeight="1" x14ac:dyDescent="0.25">
      <c r="A36" s="84"/>
      <c r="B36" s="525"/>
      <c r="C36" s="525"/>
      <c r="D36" s="525"/>
      <c r="E36" s="525"/>
      <c r="F36" s="525"/>
      <c r="G36" s="525"/>
      <c r="H36" s="525"/>
      <c r="I36" s="525"/>
      <c r="J36" s="84"/>
    </row>
    <row r="37" spans="1:18" ht="15" customHeight="1" x14ac:dyDescent="0.25">
      <c r="A37" s="84"/>
      <c r="B37" s="525"/>
      <c r="C37" s="525"/>
      <c r="D37" s="525"/>
      <c r="E37" s="525"/>
      <c r="F37" s="525"/>
      <c r="G37" s="525"/>
      <c r="H37" s="525"/>
      <c r="I37" s="525"/>
      <c r="J37" s="84"/>
    </row>
    <row r="38" spans="1:18" ht="12" customHeight="1" x14ac:dyDescent="0.25">
      <c r="A38" s="85"/>
      <c r="B38" s="85"/>
      <c r="C38" s="85"/>
      <c r="D38" s="85"/>
      <c r="E38" s="85"/>
      <c r="F38" s="85"/>
      <c r="G38" s="85"/>
      <c r="H38" s="85"/>
      <c r="I38" s="85"/>
      <c r="J38" s="85"/>
    </row>
    <row r="39" spans="1:18" s="376" customFormat="1" ht="12" customHeight="1" x14ac:dyDescent="0.25"/>
    <row r="40" spans="1:18" s="385" customFormat="1" ht="15" customHeight="1" x14ac:dyDescent="0.25">
      <c r="A40" s="369"/>
      <c r="B40" s="369" t="s">
        <v>654</v>
      </c>
      <c r="C40" s="369"/>
      <c r="D40" s="369"/>
      <c r="E40" s="369"/>
      <c r="F40" s="369"/>
      <c r="G40" s="369"/>
      <c r="H40" s="369"/>
      <c r="I40" s="369"/>
      <c r="J40" s="369"/>
    </row>
    <row r="41" spans="1:18" s="385" customFormat="1" x14ac:dyDescent="0.25">
      <c r="A41" s="370"/>
      <c r="B41" s="386" t="s">
        <v>628</v>
      </c>
      <c r="C41" s="387" t="s">
        <v>673</v>
      </c>
      <c r="D41" s="526" t="s">
        <v>629</v>
      </c>
      <c r="E41" s="527"/>
      <c r="F41" s="527"/>
      <c r="G41" s="527"/>
      <c r="H41" s="527"/>
      <c r="I41" s="527"/>
      <c r="J41" s="370"/>
    </row>
    <row r="42" spans="1:18" s="385" customFormat="1" ht="12.75" customHeight="1" x14ac:dyDescent="0.25">
      <c r="A42" s="370"/>
      <c r="B42" s="371"/>
      <c r="C42" s="372" t="s">
        <v>630</v>
      </c>
      <c r="D42" s="371"/>
      <c r="E42" s="371"/>
      <c r="F42" s="371"/>
      <c r="G42" s="371"/>
      <c r="H42" s="371"/>
      <c r="I42" s="371"/>
      <c r="J42" s="370"/>
    </row>
    <row r="43" spans="1:18" s="385" customFormat="1" ht="15" customHeight="1" x14ac:dyDescent="0.25">
      <c r="A43" s="370"/>
      <c r="B43" s="373"/>
      <c r="C43" s="374"/>
      <c r="D43" s="521"/>
      <c r="E43" s="522"/>
      <c r="F43" s="522"/>
      <c r="G43" s="522"/>
      <c r="H43" s="522"/>
      <c r="I43" s="522"/>
      <c r="J43" s="370"/>
      <c r="K43" s="388"/>
      <c r="L43" s="388"/>
      <c r="M43" s="388"/>
      <c r="N43" s="388"/>
      <c r="O43" s="388"/>
      <c r="P43" s="388"/>
      <c r="Q43" s="388"/>
      <c r="R43" s="388"/>
    </row>
    <row r="44" spans="1:18" s="385" customFormat="1" ht="15" customHeight="1" x14ac:dyDescent="0.25">
      <c r="A44" s="370"/>
      <c r="B44" s="373"/>
      <c r="C44" s="374"/>
      <c r="D44" s="521"/>
      <c r="E44" s="522"/>
      <c r="F44" s="522"/>
      <c r="G44" s="522"/>
      <c r="H44" s="522"/>
      <c r="I44" s="522"/>
      <c r="J44" s="370"/>
      <c r="K44" s="388"/>
      <c r="L44" s="388"/>
      <c r="M44" s="388"/>
      <c r="N44" s="388"/>
      <c r="O44" s="388"/>
      <c r="P44" s="388"/>
      <c r="Q44" s="388"/>
      <c r="R44" s="388"/>
    </row>
    <row r="45" spans="1:18" s="385" customFormat="1" ht="15" customHeight="1" x14ac:dyDescent="0.25">
      <c r="A45" s="370"/>
      <c r="B45" s="373"/>
      <c r="C45" s="374"/>
      <c r="D45" s="521"/>
      <c r="E45" s="522"/>
      <c r="F45" s="522"/>
      <c r="G45" s="522"/>
      <c r="H45" s="522"/>
      <c r="I45" s="522"/>
      <c r="J45" s="370"/>
      <c r="K45" s="388"/>
      <c r="L45" s="388"/>
      <c r="M45" s="388"/>
      <c r="N45" s="388"/>
      <c r="O45" s="388"/>
      <c r="P45" s="388"/>
      <c r="Q45" s="388"/>
      <c r="R45" s="388"/>
    </row>
    <row r="46" spans="1:18" s="385" customFormat="1" ht="15" customHeight="1" x14ac:dyDescent="0.25">
      <c r="A46" s="370"/>
      <c r="B46" s="373"/>
      <c r="C46" s="374"/>
      <c r="D46" s="521"/>
      <c r="E46" s="522"/>
      <c r="F46" s="522"/>
      <c r="G46" s="522"/>
      <c r="H46" s="522"/>
      <c r="I46" s="522"/>
      <c r="J46" s="370"/>
      <c r="K46" s="388"/>
      <c r="L46" s="388"/>
      <c r="M46" s="388"/>
      <c r="N46" s="388"/>
      <c r="O46" s="388"/>
      <c r="P46" s="388"/>
      <c r="Q46" s="388"/>
      <c r="R46" s="388"/>
    </row>
    <row r="47" spans="1:18" s="385" customFormat="1" ht="12" customHeight="1" x14ac:dyDescent="0.25">
      <c r="A47" s="375"/>
      <c r="B47" s="523" t="s">
        <v>655</v>
      </c>
      <c r="C47" s="524"/>
      <c r="D47" s="524"/>
      <c r="E47" s="524"/>
      <c r="F47" s="524"/>
      <c r="G47" s="524"/>
      <c r="H47" s="524"/>
      <c r="I47" s="524"/>
      <c r="J47" s="375"/>
      <c r="K47" s="388"/>
      <c r="L47" s="388"/>
      <c r="M47" s="388"/>
      <c r="N47" s="388"/>
      <c r="O47" s="388"/>
      <c r="P47" s="388"/>
      <c r="Q47" s="388"/>
      <c r="R47" s="388"/>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EE33FE8B-0211-4368-993D-D7CEBB3A24DB}"/>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1" sqref="AE1"/>
    </sheetView>
  </sheetViews>
  <sheetFormatPr defaultColWidth="9.140625"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Provincie Limburg (0011): 2025 periode 5, lasten</v>
      </c>
      <c r="B1" s="87"/>
      <c r="C1" s="88" t="s">
        <v>115</v>
      </c>
      <c r="D1" s="88" t="s">
        <v>116</v>
      </c>
      <c r="E1" s="88" t="s">
        <v>117</v>
      </c>
      <c r="F1" s="88" t="s">
        <v>118</v>
      </c>
      <c r="G1" s="88" t="s">
        <v>119</v>
      </c>
      <c r="H1" s="88" t="s">
        <v>120</v>
      </c>
      <c r="I1" s="88" t="s">
        <v>121</v>
      </c>
      <c r="J1" s="88" t="s">
        <v>122</v>
      </c>
      <c r="K1" s="88" t="s">
        <v>123</v>
      </c>
      <c r="L1" s="88" t="s">
        <v>124</v>
      </c>
      <c r="M1" s="88" t="s">
        <v>125</v>
      </c>
      <c r="N1" s="88" t="s">
        <v>126</v>
      </c>
      <c r="O1" s="88" t="s">
        <v>127</v>
      </c>
      <c r="P1" s="88" t="s">
        <v>128</v>
      </c>
      <c r="Q1" s="88" t="s">
        <v>129</v>
      </c>
      <c r="R1" s="88" t="s">
        <v>130</v>
      </c>
      <c r="S1" s="88" t="s">
        <v>131</v>
      </c>
      <c r="T1" s="88" t="s">
        <v>132</v>
      </c>
      <c r="U1" s="88" t="s">
        <v>133</v>
      </c>
      <c r="V1" s="88" t="s">
        <v>134</v>
      </c>
      <c r="W1" s="88" t="s">
        <v>718</v>
      </c>
      <c r="X1" s="88" t="s">
        <v>729</v>
      </c>
      <c r="Y1" s="88" t="s">
        <v>730</v>
      </c>
      <c r="Z1" s="88" t="s">
        <v>731</v>
      </c>
      <c r="AA1" s="88" t="s">
        <v>732</v>
      </c>
      <c r="AB1" s="88" t="s">
        <v>733</v>
      </c>
      <c r="AC1" s="88" t="s">
        <v>734</v>
      </c>
      <c r="AD1" s="88" t="s">
        <v>735</v>
      </c>
      <c r="AE1" s="88" t="s">
        <v>809</v>
      </c>
      <c r="AF1" s="88" t="s">
        <v>727</v>
      </c>
      <c r="AG1" s="88" t="s">
        <v>135</v>
      </c>
      <c r="AH1" s="88" t="s">
        <v>136</v>
      </c>
      <c r="AI1" s="88" t="s">
        <v>137</v>
      </c>
      <c r="AJ1" s="88" t="s">
        <v>138</v>
      </c>
      <c r="AK1" s="88" t="s">
        <v>139</v>
      </c>
      <c r="AL1" s="88" t="s">
        <v>140</v>
      </c>
      <c r="AM1" s="88" t="s">
        <v>141</v>
      </c>
      <c r="AN1" s="89"/>
      <c r="AO1" s="90"/>
    </row>
    <row r="2" spans="1:41" ht="168" customHeight="1" thickBot="1" x14ac:dyDescent="0.3">
      <c r="A2" s="92" t="s">
        <v>142</v>
      </c>
      <c r="B2" s="93" t="s">
        <v>143</v>
      </c>
      <c r="C2" s="94" t="s">
        <v>144</v>
      </c>
      <c r="D2" s="94" t="s">
        <v>145</v>
      </c>
      <c r="E2" s="94" t="s">
        <v>146</v>
      </c>
      <c r="F2" s="94" t="s">
        <v>147</v>
      </c>
      <c r="G2" s="94" t="s">
        <v>148</v>
      </c>
      <c r="H2" s="94" t="s">
        <v>149</v>
      </c>
      <c r="I2" s="94" t="s">
        <v>150</v>
      </c>
      <c r="J2" s="94" t="s">
        <v>151</v>
      </c>
      <c r="K2" s="94" t="s">
        <v>152</v>
      </c>
      <c r="L2" s="94" t="s">
        <v>153</v>
      </c>
      <c r="M2" s="94" t="s">
        <v>154</v>
      </c>
      <c r="N2" s="94" t="s">
        <v>155</v>
      </c>
      <c r="O2" s="94" t="s">
        <v>156</v>
      </c>
      <c r="P2" s="94" t="s">
        <v>895</v>
      </c>
      <c r="Q2" s="94" t="s">
        <v>157</v>
      </c>
      <c r="R2" s="94" t="s">
        <v>158</v>
      </c>
      <c r="S2" s="94" t="s">
        <v>159</v>
      </c>
      <c r="T2" s="94" t="s">
        <v>160</v>
      </c>
      <c r="U2" s="94" t="s">
        <v>161</v>
      </c>
      <c r="V2" s="94" t="s">
        <v>877</v>
      </c>
      <c r="W2" s="94" t="s">
        <v>719</v>
      </c>
      <c r="X2" s="94" t="s">
        <v>720</v>
      </c>
      <c r="Y2" s="94" t="s">
        <v>721</v>
      </c>
      <c r="Z2" s="94" t="s">
        <v>896</v>
      </c>
      <c r="AA2" s="94" t="s">
        <v>722</v>
      </c>
      <c r="AB2" s="94" t="s">
        <v>723</v>
      </c>
      <c r="AC2" s="94" t="s">
        <v>724</v>
      </c>
      <c r="AD2" s="95" t="s">
        <v>725</v>
      </c>
      <c r="AE2" s="95" t="s">
        <v>726</v>
      </c>
      <c r="AF2" s="94" t="s">
        <v>728</v>
      </c>
      <c r="AG2" s="94" t="s">
        <v>162</v>
      </c>
      <c r="AH2" s="94" t="s">
        <v>163</v>
      </c>
      <c r="AI2" s="94" t="s">
        <v>164</v>
      </c>
      <c r="AJ2" s="94" t="s">
        <v>165</v>
      </c>
      <c r="AK2" s="94" t="s">
        <v>166</v>
      </c>
      <c r="AL2" s="94" t="s">
        <v>167</v>
      </c>
      <c r="AM2" s="94" t="s">
        <v>168</v>
      </c>
      <c r="AN2" s="96" t="s">
        <v>169</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170</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171</v>
      </c>
      <c r="B5" s="179" t="s">
        <v>172</v>
      </c>
      <c r="C5" s="110">
        <v>96</v>
      </c>
      <c r="D5" s="110"/>
      <c r="E5" s="110"/>
      <c r="F5" s="110"/>
      <c r="G5" s="110"/>
      <c r="H5" s="110"/>
      <c r="I5" s="110"/>
      <c r="J5" s="110">
        <v>108</v>
      </c>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204</v>
      </c>
      <c r="AO5" s="103"/>
    </row>
    <row r="6" spans="1:41" ht="14.45" customHeight="1" x14ac:dyDescent="0.2">
      <c r="A6" s="109" t="s">
        <v>173</v>
      </c>
      <c r="B6" s="179" t="s">
        <v>174</v>
      </c>
      <c r="C6" s="114">
        <v>742</v>
      </c>
      <c r="D6" s="114"/>
      <c r="E6" s="114"/>
      <c r="F6" s="114"/>
      <c r="G6" s="114"/>
      <c r="H6" s="110"/>
      <c r="I6" s="114">
        <v>2</v>
      </c>
      <c r="J6" s="114">
        <v>9</v>
      </c>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753</v>
      </c>
      <c r="AO6" s="103"/>
    </row>
    <row r="7" spans="1:41" ht="14.45" customHeight="1" x14ac:dyDescent="0.2">
      <c r="A7" s="109" t="s">
        <v>175</v>
      </c>
      <c r="B7" s="179" t="s">
        <v>176</v>
      </c>
      <c r="C7" s="116">
        <v>46</v>
      </c>
      <c r="D7" s="117"/>
      <c r="E7" s="118"/>
      <c r="F7" s="118"/>
      <c r="G7" s="118"/>
      <c r="H7" s="119"/>
      <c r="I7" s="118"/>
      <c r="J7" s="118">
        <v>610</v>
      </c>
      <c r="K7" s="120"/>
      <c r="L7" s="110"/>
      <c r="M7" s="118"/>
      <c r="N7" s="118"/>
      <c r="O7" s="118"/>
      <c r="P7" s="118"/>
      <c r="Q7" s="118"/>
      <c r="R7" s="118"/>
      <c r="S7" s="118"/>
      <c r="T7" s="118"/>
      <c r="U7" s="118"/>
      <c r="V7" s="118"/>
      <c r="W7" s="118"/>
      <c r="X7" s="118"/>
      <c r="Y7" s="118"/>
      <c r="Z7" s="118"/>
      <c r="AA7" s="118"/>
      <c r="AB7" s="118"/>
      <c r="AC7" s="118"/>
      <c r="AD7" s="118"/>
      <c r="AE7" s="118"/>
      <c r="AF7" s="118"/>
      <c r="AG7" s="116">
        <v>225</v>
      </c>
      <c r="AH7" s="110"/>
      <c r="AI7" s="124"/>
      <c r="AJ7" s="118"/>
      <c r="AK7" s="118"/>
      <c r="AL7" s="118"/>
      <c r="AM7" s="118"/>
      <c r="AN7" s="112">
        <f t="shared" si="0"/>
        <v>881</v>
      </c>
      <c r="AO7" s="103"/>
    </row>
    <row r="8" spans="1:41" x14ac:dyDescent="0.2">
      <c r="A8" s="109" t="s">
        <v>177</v>
      </c>
      <c r="B8" s="179" t="s">
        <v>178</v>
      </c>
      <c r="C8" s="121">
        <v>11</v>
      </c>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11</v>
      </c>
      <c r="AO8" s="103"/>
    </row>
    <row r="9" spans="1:41" ht="14.45" customHeight="1" x14ac:dyDescent="0.2">
      <c r="A9" s="109" t="s">
        <v>179</v>
      </c>
      <c r="B9" s="179" t="s">
        <v>180</v>
      </c>
      <c r="C9" s="116"/>
      <c r="D9" s="117"/>
      <c r="E9" s="123">
        <v>-84</v>
      </c>
      <c r="F9" s="123">
        <v>-142</v>
      </c>
      <c r="G9" s="123"/>
      <c r="H9" s="119"/>
      <c r="I9" s="123">
        <v>-279</v>
      </c>
      <c r="J9" s="123">
        <v>-3411</v>
      </c>
      <c r="K9" s="120"/>
      <c r="L9" s="110">
        <v>-420</v>
      </c>
      <c r="M9" s="123">
        <v>-1283</v>
      </c>
      <c r="N9" s="123">
        <v>-1229</v>
      </c>
      <c r="O9" s="123"/>
      <c r="P9" s="123">
        <v>-83</v>
      </c>
      <c r="Q9" s="123">
        <v>-1518</v>
      </c>
      <c r="R9" s="123">
        <v>-45</v>
      </c>
      <c r="S9" s="123"/>
      <c r="T9" s="123">
        <v>-3698</v>
      </c>
      <c r="U9" s="123"/>
      <c r="V9" s="418"/>
      <c r="W9" s="120"/>
      <c r="X9" s="110">
        <v>-1010</v>
      </c>
      <c r="Y9" s="110"/>
      <c r="Z9" s="110"/>
      <c r="AA9" s="110"/>
      <c r="AB9" s="110"/>
      <c r="AC9" s="110"/>
      <c r="AD9" s="110">
        <v>-1096</v>
      </c>
      <c r="AE9" s="110"/>
      <c r="AF9" s="110"/>
      <c r="AG9" s="110"/>
      <c r="AH9" s="110"/>
      <c r="AI9" s="124"/>
      <c r="AJ9" s="123"/>
      <c r="AK9" s="123"/>
      <c r="AL9" s="118"/>
      <c r="AM9" s="118"/>
      <c r="AN9" s="125">
        <f t="shared" si="0"/>
        <v>-14298</v>
      </c>
      <c r="AO9" s="103"/>
    </row>
    <row r="10" spans="1:41" ht="14.45" customHeight="1" x14ac:dyDescent="0.2">
      <c r="A10" s="109" t="s">
        <v>181</v>
      </c>
      <c r="B10" s="179" t="s">
        <v>182</v>
      </c>
      <c r="C10" s="121">
        <v>32367</v>
      </c>
      <c r="D10" s="123">
        <v>310</v>
      </c>
      <c r="E10" s="123"/>
      <c r="F10" s="123">
        <v>1987</v>
      </c>
      <c r="G10" s="123"/>
      <c r="H10" s="119"/>
      <c r="I10" s="123">
        <v>1182</v>
      </c>
      <c r="J10" s="123">
        <v>16877</v>
      </c>
      <c r="K10" s="120"/>
      <c r="L10" s="110"/>
      <c r="M10" s="123"/>
      <c r="N10" s="123">
        <v>64</v>
      </c>
      <c r="O10" s="123"/>
      <c r="P10" s="123"/>
      <c r="Q10" s="123"/>
      <c r="R10" s="123"/>
      <c r="S10" s="123"/>
      <c r="T10" s="123">
        <v>371</v>
      </c>
      <c r="U10" s="123"/>
      <c r="V10" s="417"/>
      <c r="W10" s="123"/>
      <c r="X10" s="123"/>
      <c r="Y10" s="123"/>
      <c r="Z10" s="123"/>
      <c r="AA10" s="123"/>
      <c r="AB10" s="123"/>
      <c r="AC10" s="123"/>
      <c r="AD10" s="123"/>
      <c r="AE10" s="123"/>
      <c r="AF10" s="123"/>
      <c r="AG10" s="110"/>
      <c r="AH10" s="110"/>
      <c r="AI10" s="124"/>
      <c r="AJ10" s="123">
        <v>2607</v>
      </c>
      <c r="AK10" s="123">
        <v>2349</v>
      </c>
      <c r="AL10" s="123"/>
      <c r="AM10" s="123"/>
      <c r="AN10" s="112">
        <f t="shared" si="0"/>
        <v>58114</v>
      </c>
      <c r="AO10" s="103"/>
    </row>
    <row r="11" spans="1:41" ht="14.45" customHeight="1" x14ac:dyDescent="0.2">
      <c r="A11" s="109" t="s">
        <v>183</v>
      </c>
      <c r="B11" s="179" t="s">
        <v>184</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185</v>
      </c>
      <c r="B12" s="179" t="s">
        <v>186</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v>190755</v>
      </c>
      <c r="AJ12" s="110"/>
      <c r="AK12" s="110"/>
      <c r="AL12" s="110"/>
      <c r="AM12" s="111"/>
      <c r="AN12" s="125">
        <f t="shared" si="0"/>
        <v>190755</v>
      </c>
      <c r="AO12" s="103"/>
    </row>
    <row r="13" spans="1:41" ht="14.45" customHeight="1" x14ac:dyDescent="0.2">
      <c r="A13" s="109" t="s">
        <v>187</v>
      </c>
      <c r="B13" s="179" t="s">
        <v>188</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v>85303</v>
      </c>
      <c r="AJ13" s="114"/>
      <c r="AK13" s="114"/>
      <c r="AL13" s="114"/>
      <c r="AM13" s="114"/>
      <c r="AN13" s="125">
        <f t="shared" si="0"/>
        <v>85303</v>
      </c>
      <c r="AO13" s="103"/>
    </row>
    <row r="14" spans="1:41" ht="14.45" customHeight="1" x14ac:dyDescent="0.2">
      <c r="A14" s="546" t="s">
        <v>189</v>
      </c>
      <c r="B14" s="547"/>
      <c r="C14" s="307">
        <f>SUM(C5:C13)</f>
        <v>33262</v>
      </c>
      <c r="D14" s="131">
        <f t="shared" ref="D14:AM14" si="1">SUM(D5:D13)</f>
        <v>310</v>
      </c>
      <c r="E14" s="130">
        <f t="shared" si="1"/>
        <v>-84</v>
      </c>
      <c r="F14" s="130">
        <f t="shared" si="1"/>
        <v>1845</v>
      </c>
      <c r="G14" s="130">
        <f t="shared" si="1"/>
        <v>0</v>
      </c>
      <c r="H14" s="132">
        <f t="shared" si="1"/>
        <v>0</v>
      </c>
      <c r="I14" s="130">
        <f t="shared" si="1"/>
        <v>905</v>
      </c>
      <c r="J14" s="130">
        <f t="shared" si="1"/>
        <v>14193</v>
      </c>
      <c r="K14" s="133">
        <f t="shared" si="1"/>
        <v>0</v>
      </c>
      <c r="L14" s="134">
        <f t="shared" si="1"/>
        <v>-420</v>
      </c>
      <c r="M14" s="130">
        <f t="shared" si="1"/>
        <v>-1283</v>
      </c>
      <c r="N14" s="130">
        <f t="shared" si="1"/>
        <v>-1165</v>
      </c>
      <c r="O14" s="130">
        <f t="shared" si="1"/>
        <v>0</v>
      </c>
      <c r="P14" s="130">
        <f t="shared" si="1"/>
        <v>-83</v>
      </c>
      <c r="Q14" s="130">
        <f t="shared" si="1"/>
        <v>-1518</v>
      </c>
      <c r="R14" s="130">
        <f t="shared" si="1"/>
        <v>-45</v>
      </c>
      <c r="S14" s="130">
        <f t="shared" si="1"/>
        <v>0</v>
      </c>
      <c r="T14" s="130">
        <f t="shared" si="1"/>
        <v>-3327</v>
      </c>
      <c r="U14" s="130">
        <f t="shared" si="1"/>
        <v>0</v>
      </c>
      <c r="V14" s="130">
        <f t="shared" si="1"/>
        <v>0</v>
      </c>
      <c r="W14" s="130">
        <f t="shared" si="1"/>
        <v>0</v>
      </c>
      <c r="X14" s="130">
        <f t="shared" si="1"/>
        <v>-1010</v>
      </c>
      <c r="Y14" s="130">
        <f t="shared" si="1"/>
        <v>0</v>
      </c>
      <c r="Z14" s="130">
        <f t="shared" si="1"/>
        <v>0</v>
      </c>
      <c r="AA14" s="130">
        <f t="shared" si="1"/>
        <v>0</v>
      </c>
      <c r="AB14" s="130">
        <f t="shared" si="1"/>
        <v>0</v>
      </c>
      <c r="AC14" s="130">
        <f t="shared" si="1"/>
        <v>0</v>
      </c>
      <c r="AD14" s="130">
        <f t="shared" si="1"/>
        <v>-1096</v>
      </c>
      <c r="AE14" s="130">
        <f t="shared" si="1"/>
        <v>0</v>
      </c>
      <c r="AF14" s="130">
        <f t="shared" si="1"/>
        <v>0</v>
      </c>
      <c r="AG14" s="130">
        <f t="shared" si="1"/>
        <v>225</v>
      </c>
      <c r="AH14" s="132">
        <f t="shared" si="1"/>
        <v>0</v>
      </c>
      <c r="AI14" s="130">
        <f t="shared" si="1"/>
        <v>276058</v>
      </c>
      <c r="AJ14" s="130">
        <f t="shared" si="1"/>
        <v>2607</v>
      </c>
      <c r="AK14" s="130">
        <f t="shared" si="1"/>
        <v>2349</v>
      </c>
      <c r="AL14" s="130">
        <f t="shared" si="1"/>
        <v>0</v>
      </c>
      <c r="AM14" s="130">
        <f t="shared" si="1"/>
        <v>0</v>
      </c>
      <c r="AN14" s="112">
        <f t="shared" si="0"/>
        <v>321723</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190</v>
      </c>
      <c r="B16" s="309" t="s">
        <v>191</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115</v>
      </c>
      <c r="B17" s="179" t="s">
        <v>192</v>
      </c>
      <c r="C17" s="121">
        <v>2944</v>
      </c>
      <c r="D17" s="122"/>
      <c r="E17" s="123"/>
      <c r="F17" s="123">
        <v>156</v>
      </c>
      <c r="G17" s="123"/>
      <c r="H17" s="119"/>
      <c r="I17" s="123"/>
      <c r="J17" s="123">
        <v>975</v>
      </c>
      <c r="K17" s="120"/>
      <c r="L17" s="124"/>
      <c r="M17" s="123"/>
      <c r="N17" s="123"/>
      <c r="O17" s="123"/>
      <c r="P17" s="123"/>
      <c r="Q17" s="123"/>
      <c r="R17" s="123"/>
      <c r="S17" s="123"/>
      <c r="T17" s="123">
        <v>941</v>
      </c>
      <c r="U17" s="123"/>
      <c r="V17" s="417"/>
      <c r="W17" s="123"/>
      <c r="X17" s="123"/>
      <c r="Y17" s="123"/>
      <c r="Z17" s="123"/>
      <c r="AA17" s="123"/>
      <c r="AB17" s="123"/>
      <c r="AC17" s="123"/>
      <c r="AD17" s="123"/>
      <c r="AE17" s="123"/>
      <c r="AF17" s="123"/>
      <c r="AG17" s="120"/>
      <c r="AH17" s="110"/>
      <c r="AI17" s="124"/>
      <c r="AJ17" s="123"/>
      <c r="AK17" s="123">
        <v>32</v>
      </c>
      <c r="AL17" s="123"/>
      <c r="AM17" s="123"/>
      <c r="AN17" s="112">
        <f>SUM(C17:AM17)</f>
        <v>5048</v>
      </c>
      <c r="AO17" s="103"/>
    </row>
    <row r="18" spans="1:41" ht="14.45" customHeight="1" x14ac:dyDescent="0.2">
      <c r="A18" s="109" t="s">
        <v>193</v>
      </c>
      <c r="B18" s="179" t="s">
        <v>194</v>
      </c>
      <c r="C18" s="121">
        <v>1180</v>
      </c>
      <c r="D18" s="122"/>
      <c r="E18" s="123"/>
      <c r="F18" s="123">
        <v>1</v>
      </c>
      <c r="G18" s="123"/>
      <c r="H18" s="119"/>
      <c r="I18" s="123">
        <v>676</v>
      </c>
      <c r="J18" s="123">
        <v>281</v>
      </c>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v>1915</v>
      </c>
      <c r="AK18" s="123"/>
      <c r="AL18" s="123"/>
      <c r="AM18" s="123"/>
      <c r="AN18" s="112">
        <f t="shared" ref="AN18:AN23" si="2">SUM(C18:AM18)</f>
        <v>4053</v>
      </c>
      <c r="AO18" s="103"/>
    </row>
    <row r="19" spans="1:41" ht="14.45" customHeight="1" x14ac:dyDescent="0.2">
      <c r="A19" s="109" t="s">
        <v>195</v>
      </c>
      <c r="B19" s="179" t="s">
        <v>196</v>
      </c>
      <c r="C19" s="121">
        <v>3978</v>
      </c>
      <c r="D19" s="122"/>
      <c r="E19" s="123"/>
      <c r="F19" s="123">
        <v>23</v>
      </c>
      <c r="G19" s="123"/>
      <c r="H19" s="119"/>
      <c r="I19" s="123">
        <v>161</v>
      </c>
      <c r="J19" s="123">
        <v>363</v>
      </c>
      <c r="K19" s="120"/>
      <c r="L19" s="124"/>
      <c r="M19" s="123"/>
      <c r="N19" s="123">
        <v>74</v>
      </c>
      <c r="O19" s="123"/>
      <c r="P19" s="123"/>
      <c r="Q19" s="123"/>
      <c r="R19" s="123"/>
      <c r="S19" s="123"/>
      <c r="T19" s="123">
        <v>559</v>
      </c>
      <c r="U19" s="123"/>
      <c r="V19" s="417"/>
      <c r="W19" s="123"/>
      <c r="X19" s="123"/>
      <c r="Y19" s="123"/>
      <c r="Z19" s="123"/>
      <c r="AA19" s="123"/>
      <c r="AB19" s="123"/>
      <c r="AC19" s="123"/>
      <c r="AD19" s="123"/>
      <c r="AE19" s="123"/>
      <c r="AF19" s="123"/>
      <c r="AG19" s="120"/>
      <c r="AH19" s="110"/>
      <c r="AI19" s="124"/>
      <c r="AJ19" s="123"/>
      <c r="AK19" s="123"/>
      <c r="AL19" s="123"/>
      <c r="AM19" s="123"/>
      <c r="AN19" s="112">
        <f t="shared" si="2"/>
        <v>5158</v>
      </c>
      <c r="AO19" s="103"/>
    </row>
    <row r="20" spans="1:41" ht="14.45" customHeight="1" x14ac:dyDescent="0.2">
      <c r="A20" s="109" t="s">
        <v>197</v>
      </c>
      <c r="B20" s="179" t="s">
        <v>198</v>
      </c>
      <c r="C20" s="121">
        <v>1663</v>
      </c>
      <c r="D20" s="122"/>
      <c r="E20" s="123"/>
      <c r="F20" s="123"/>
      <c r="G20" s="123"/>
      <c r="H20" s="119"/>
      <c r="I20" s="123">
        <v>5</v>
      </c>
      <c r="J20" s="123">
        <v>314</v>
      </c>
      <c r="K20" s="120"/>
      <c r="L20" s="124"/>
      <c r="M20" s="123"/>
      <c r="N20" s="123"/>
      <c r="O20" s="123"/>
      <c r="P20" s="123"/>
      <c r="Q20" s="123"/>
      <c r="R20" s="123"/>
      <c r="S20" s="123"/>
      <c r="T20" s="123">
        <v>35</v>
      </c>
      <c r="U20" s="123"/>
      <c r="V20" s="417"/>
      <c r="W20" s="123"/>
      <c r="X20" s="123"/>
      <c r="Y20" s="123"/>
      <c r="Z20" s="123"/>
      <c r="AA20" s="123"/>
      <c r="AB20" s="123"/>
      <c r="AC20" s="123"/>
      <c r="AD20" s="123"/>
      <c r="AE20" s="123"/>
      <c r="AF20" s="123"/>
      <c r="AG20" s="120"/>
      <c r="AH20" s="110"/>
      <c r="AI20" s="124"/>
      <c r="AJ20" s="123"/>
      <c r="AK20" s="123"/>
      <c r="AL20" s="123"/>
      <c r="AM20" s="123"/>
      <c r="AN20" s="112">
        <f t="shared" si="2"/>
        <v>2017</v>
      </c>
      <c r="AO20" s="103"/>
    </row>
    <row r="21" spans="1:41" ht="14.45" customHeight="1" x14ac:dyDescent="0.2">
      <c r="A21" s="109" t="s">
        <v>199</v>
      </c>
      <c r="B21" s="179" t="s">
        <v>200</v>
      </c>
      <c r="C21" s="121"/>
      <c r="D21" s="122"/>
      <c r="E21" s="123"/>
      <c r="F21" s="123"/>
      <c r="G21" s="123"/>
      <c r="H21" s="119"/>
      <c r="I21" s="123"/>
      <c r="J21" s="123">
        <v>13</v>
      </c>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13</v>
      </c>
      <c r="AO21" s="103"/>
    </row>
    <row r="22" spans="1:41" ht="14.45" customHeight="1" x14ac:dyDescent="0.2">
      <c r="A22" s="109" t="s">
        <v>201</v>
      </c>
      <c r="B22" s="179" t="s">
        <v>202</v>
      </c>
      <c r="C22" s="121"/>
      <c r="D22" s="122"/>
      <c r="E22" s="123"/>
      <c r="F22" s="123"/>
      <c r="G22" s="123"/>
      <c r="H22" s="119"/>
      <c r="I22" s="123">
        <v>7</v>
      </c>
      <c r="J22" s="123">
        <v>221</v>
      </c>
      <c r="K22" s="120"/>
      <c r="L22" s="124"/>
      <c r="M22" s="123"/>
      <c r="N22" s="123">
        <v>917</v>
      </c>
      <c r="O22" s="123">
        <v>265</v>
      </c>
      <c r="P22" s="123"/>
      <c r="Q22" s="123"/>
      <c r="R22" s="123"/>
      <c r="S22" s="123"/>
      <c r="T22" s="123">
        <v>808</v>
      </c>
      <c r="U22" s="123"/>
      <c r="V22" s="417"/>
      <c r="W22" s="123"/>
      <c r="X22" s="123"/>
      <c r="Y22" s="123"/>
      <c r="Z22" s="123"/>
      <c r="AA22" s="123"/>
      <c r="AB22" s="123"/>
      <c r="AC22" s="123"/>
      <c r="AD22" s="123"/>
      <c r="AE22" s="123"/>
      <c r="AF22" s="123"/>
      <c r="AG22" s="120"/>
      <c r="AH22" s="110"/>
      <c r="AI22" s="124"/>
      <c r="AJ22" s="123"/>
      <c r="AK22" s="123"/>
      <c r="AL22" s="123"/>
      <c r="AM22" s="123"/>
      <c r="AN22" s="112">
        <f t="shared" si="2"/>
        <v>2218</v>
      </c>
      <c r="AO22" s="103"/>
    </row>
    <row r="23" spans="1:41" ht="14.45" customHeight="1" x14ac:dyDescent="0.2">
      <c r="A23" s="109" t="s">
        <v>203</v>
      </c>
      <c r="B23" s="179" t="s">
        <v>204</v>
      </c>
      <c r="C23" s="121">
        <v>2624</v>
      </c>
      <c r="D23" s="122"/>
      <c r="E23" s="123"/>
      <c r="F23" s="123"/>
      <c r="G23" s="123"/>
      <c r="H23" s="119"/>
      <c r="I23" s="123">
        <v>122</v>
      </c>
      <c r="J23" s="123">
        <v>3777</v>
      </c>
      <c r="K23" s="120"/>
      <c r="L23" s="124"/>
      <c r="M23" s="123"/>
      <c r="N23" s="123">
        <v>45</v>
      </c>
      <c r="O23" s="123"/>
      <c r="P23" s="123">
        <v>36</v>
      </c>
      <c r="Q23" s="123"/>
      <c r="R23" s="123"/>
      <c r="S23" s="123"/>
      <c r="T23" s="123">
        <v>245</v>
      </c>
      <c r="U23" s="123"/>
      <c r="V23" s="417"/>
      <c r="W23" s="123"/>
      <c r="X23" s="123"/>
      <c r="Y23" s="123"/>
      <c r="Z23" s="123"/>
      <c r="AA23" s="123"/>
      <c r="AB23" s="123"/>
      <c r="AC23" s="123"/>
      <c r="AD23" s="123"/>
      <c r="AE23" s="123"/>
      <c r="AF23" s="123"/>
      <c r="AG23" s="120"/>
      <c r="AH23" s="110"/>
      <c r="AI23" s="124"/>
      <c r="AJ23" s="123"/>
      <c r="AK23" s="123"/>
      <c r="AL23" s="123"/>
      <c r="AM23" s="123"/>
      <c r="AN23" s="112">
        <f t="shared" si="2"/>
        <v>6849</v>
      </c>
      <c r="AO23" s="103"/>
    </row>
    <row r="24" spans="1:41" ht="14.45" customHeight="1" x14ac:dyDescent="0.2">
      <c r="A24" s="544" t="s">
        <v>205</v>
      </c>
      <c r="B24" s="545"/>
      <c r="C24" s="121">
        <f>SUM(C17:C23)</f>
        <v>12389</v>
      </c>
      <c r="D24" s="123">
        <f t="shared" ref="D24:AM24" si="3">SUM(D17:D23)</f>
        <v>0</v>
      </c>
      <c r="E24" s="123">
        <f t="shared" si="3"/>
        <v>0</v>
      </c>
      <c r="F24" s="123">
        <f t="shared" si="3"/>
        <v>180</v>
      </c>
      <c r="G24" s="123">
        <f t="shared" si="3"/>
        <v>0</v>
      </c>
      <c r="H24" s="119">
        <f t="shared" si="3"/>
        <v>0</v>
      </c>
      <c r="I24" s="123">
        <f t="shared" si="3"/>
        <v>971</v>
      </c>
      <c r="J24" s="123">
        <f t="shared" si="3"/>
        <v>5944</v>
      </c>
      <c r="K24" s="120">
        <f t="shared" si="3"/>
        <v>0</v>
      </c>
      <c r="L24" s="124">
        <f t="shared" si="3"/>
        <v>0</v>
      </c>
      <c r="M24" s="123">
        <f t="shared" si="3"/>
        <v>0</v>
      </c>
      <c r="N24" s="123">
        <f t="shared" si="3"/>
        <v>1036</v>
      </c>
      <c r="O24" s="123">
        <f t="shared" si="3"/>
        <v>265</v>
      </c>
      <c r="P24" s="123">
        <f t="shared" si="3"/>
        <v>36</v>
      </c>
      <c r="Q24" s="123">
        <f t="shared" si="3"/>
        <v>0</v>
      </c>
      <c r="R24" s="123">
        <f t="shared" si="3"/>
        <v>0</v>
      </c>
      <c r="S24" s="123">
        <f t="shared" si="3"/>
        <v>0</v>
      </c>
      <c r="T24" s="123">
        <f t="shared" si="3"/>
        <v>2588</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1915</v>
      </c>
      <c r="AK24" s="123">
        <f t="shared" si="3"/>
        <v>32</v>
      </c>
      <c r="AL24" s="123">
        <f t="shared" si="3"/>
        <v>0</v>
      </c>
      <c r="AM24" s="123">
        <f t="shared" si="3"/>
        <v>0</v>
      </c>
      <c r="AN24" s="112">
        <f>SUM(C24:AM24)</f>
        <v>25356</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206</v>
      </c>
      <c r="B26" s="309" t="s">
        <v>207</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116</v>
      </c>
      <c r="B27" s="179" t="s">
        <v>208</v>
      </c>
      <c r="C27" s="121">
        <v>11662</v>
      </c>
      <c r="D27" s="122"/>
      <c r="E27" s="123"/>
      <c r="F27" s="123">
        <v>1957</v>
      </c>
      <c r="G27" s="123"/>
      <c r="H27" s="119"/>
      <c r="I27" s="123">
        <v>164</v>
      </c>
      <c r="J27" s="123">
        <v>27509</v>
      </c>
      <c r="K27" s="119"/>
      <c r="L27" s="123"/>
      <c r="M27" s="123">
        <v>21</v>
      </c>
      <c r="N27" s="123">
        <v>775</v>
      </c>
      <c r="O27" s="123">
        <v>49</v>
      </c>
      <c r="P27" s="123"/>
      <c r="Q27" s="123"/>
      <c r="R27" s="123"/>
      <c r="S27" s="123"/>
      <c r="T27" s="123">
        <v>95</v>
      </c>
      <c r="U27" s="123"/>
      <c r="V27" s="417"/>
      <c r="W27" s="123"/>
      <c r="X27" s="123">
        <v>2146</v>
      </c>
      <c r="Y27" s="123"/>
      <c r="Z27" s="123"/>
      <c r="AA27" s="123"/>
      <c r="AB27" s="123"/>
      <c r="AC27" s="123"/>
      <c r="AD27" s="123"/>
      <c r="AE27" s="123"/>
      <c r="AF27" s="123"/>
      <c r="AG27" s="120"/>
      <c r="AH27" s="110"/>
      <c r="AI27" s="124"/>
      <c r="AJ27" s="123">
        <v>101</v>
      </c>
      <c r="AK27" s="123">
        <v>19610</v>
      </c>
      <c r="AL27" s="123"/>
      <c r="AM27" s="123"/>
      <c r="AN27" s="112">
        <f>SUM(C27:AM27)</f>
        <v>64089</v>
      </c>
      <c r="AO27" s="103"/>
    </row>
    <row r="28" spans="1:41" ht="14.45" customHeight="1" x14ac:dyDescent="0.2">
      <c r="A28" s="109" t="s">
        <v>209</v>
      </c>
      <c r="B28" s="179" t="s">
        <v>210</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211</v>
      </c>
      <c r="B29" s="179" t="s">
        <v>212</v>
      </c>
      <c r="C29" s="121">
        <v>1164</v>
      </c>
      <c r="D29" s="122"/>
      <c r="E29" s="123"/>
      <c r="F29" s="123"/>
      <c r="G29" s="123"/>
      <c r="H29" s="119"/>
      <c r="I29" s="123">
        <v>4</v>
      </c>
      <c r="J29" s="123">
        <v>854</v>
      </c>
      <c r="K29" s="119"/>
      <c r="L29" s="123">
        <v>145817</v>
      </c>
      <c r="M29" s="123">
        <v>5</v>
      </c>
      <c r="N29" s="123"/>
      <c r="O29" s="123"/>
      <c r="P29" s="123"/>
      <c r="Q29" s="123"/>
      <c r="R29" s="123"/>
      <c r="S29" s="123"/>
      <c r="T29" s="123">
        <v>16762</v>
      </c>
      <c r="U29" s="123"/>
      <c r="V29" s="417"/>
      <c r="W29" s="123"/>
      <c r="X29" s="123">
        <v>300</v>
      </c>
      <c r="Y29" s="123"/>
      <c r="Z29" s="123"/>
      <c r="AA29" s="123"/>
      <c r="AB29" s="123"/>
      <c r="AC29" s="123"/>
      <c r="AD29" s="123">
        <v>9860</v>
      </c>
      <c r="AE29" s="123"/>
      <c r="AF29" s="123"/>
      <c r="AG29" s="120"/>
      <c r="AH29" s="110"/>
      <c r="AI29" s="124"/>
      <c r="AJ29" s="123"/>
      <c r="AK29" s="123">
        <v>1520</v>
      </c>
      <c r="AL29" s="123"/>
      <c r="AM29" s="123"/>
      <c r="AN29" s="112">
        <f>SUM(C29:AM29)</f>
        <v>176286</v>
      </c>
      <c r="AO29" s="103"/>
    </row>
    <row r="30" spans="1:41" ht="14.45" customHeight="1" x14ac:dyDescent="0.2">
      <c r="A30" s="109" t="s">
        <v>213</v>
      </c>
      <c r="B30" s="179" t="s">
        <v>214</v>
      </c>
      <c r="C30" s="121">
        <v>2980</v>
      </c>
      <c r="D30" s="122"/>
      <c r="E30" s="123"/>
      <c r="F30" s="123">
        <v>74</v>
      </c>
      <c r="G30" s="123"/>
      <c r="H30" s="119"/>
      <c r="I30" s="123">
        <v>46</v>
      </c>
      <c r="J30" s="123">
        <v>3799</v>
      </c>
      <c r="K30" s="119"/>
      <c r="L30" s="123"/>
      <c r="M30" s="123">
        <v>314</v>
      </c>
      <c r="N30" s="123">
        <v>2978</v>
      </c>
      <c r="O30" s="123">
        <v>4</v>
      </c>
      <c r="P30" s="123">
        <v>18</v>
      </c>
      <c r="Q30" s="123"/>
      <c r="R30" s="123">
        <v>120</v>
      </c>
      <c r="S30" s="123"/>
      <c r="T30" s="123">
        <v>3031</v>
      </c>
      <c r="U30" s="123"/>
      <c r="V30" s="417"/>
      <c r="W30" s="123"/>
      <c r="X30" s="123">
        <v>33</v>
      </c>
      <c r="Y30" s="123"/>
      <c r="Z30" s="123"/>
      <c r="AA30" s="123"/>
      <c r="AB30" s="123"/>
      <c r="AC30" s="123"/>
      <c r="AD30" s="123"/>
      <c r="AE30" s="123"/>
      <c r="AF30" s="123"/>
      <c r="AG30" s="120"/>
      <c r="AH30" s="110"/>
      <c r="AI30" s="124"/>
      <c r="AJ30" s="123"/>
      <c r="AK30" s="123">
        <v>50</v>
      </c>
      <c r="AL30" s="123"/>
      <c r="AM30" s="123"/>
      <c r="AN30" s="112">
        <f>SUM(C30:AM30)</f>
        <v>13447</v>
      </c>
      <c r="AO30" s="103"/>
    </row>
    <row r="31" spans="1:41" ht="14.45" customHeight="1" x14ac:dyDescent="0.2">
      <c r="A31" s="544" t="s">
        <v>215</v>
      </c>
      <c r="B31" s="545"/>
      <c r="C31" s="146">
        <f>SUM(C27:C30)</f>
        <v>15806</v>
      </c>
      <c r="D31" s="144">
        <f t="shared" ref="D31:AM31" si="4">SUM(D27:D30)</f>
        <v>0</v>
      </c>
      <c r="E31" s="130">
        <f t="shared" si="4"/>
        <v>0</v>
      </c>
      <c r="F31" s="143">
        <f t="shared" si="4"/>
        <v>2031</v>
      </c>
      <c r="G31" s="143">
        <f t="shared" si="4"/>
        <v>0</v>
      </c>
      <c r="H31" s="119">
        <f t="shared" si="4"/>
        <v>0</v>
      </c>
      <c r="I31" s="143">
        <f t="shared" si="4"/>
        <v>214</v>
      </c>
      <c r="J31" s="143">
        <f t="shared" si="4"/>
        <v>32162</v>
      </c>
      <c r="K31" s="119">
        <f t="shared" si="4"/>
        <v>0</v>
      </c>
      <c r="L31" s="143">
        <f t="shared" si="4"/>
        <v>145817</v>
      </c>
      <c r="M31" s="143">
        <f t="shared" si="4"/>
        <v>340</v>
      </c>
      <c r="N31" s="143">
        <f t="shared" si="4"/>
        <v>3753</v>
      </c>
      <c r="O31" s="143">
        <f t="shared" si="4"/>
        <v>53</v>
      </c>
      <c r="P31" s="143">
        <f t="shared" si="4"/>
        <v>18</v>
      </c>
      <c r="Q31" s="143">
        <f t="shared" si="4"/>
        <v>0</v>
      </c>
      <c r="R31" s="143">
        <f t="shared" si="4"/>
        <v>120</v>
      </c>
      <c r="S31" s="143">
        <f t="shared" si="4"/>
        <v>0</v>
      </c>
      <c r="T31" s="143">
        <f t="shared" si="4"/>
        <v>19888</v>
      </c>
      <c r="U31" s="130">
        <f t="shared" si="4"/>
        <v>0</v>
      </c>
      <c r="V31" s="130">
        <f t="shared" si="4"/>
        <v>0</v>
      </c>
      <c r="W31" s="130">
        <f t="shared" si="4"/>
        <v>0</v>
      </c>
      <c r="X31" s="143">
        <f t="shared" si="4"/>
        <v>2479</v>
      </c>
      <c r="Y31" s="143">
        <f t="shared" si="4"/>
        <v>0</v>
      </c>
      <c r="Z31" s="143">
        <f t="shared" si="4"/>
        <v>0</v>
      </c>
      <c r="AA31" s="143">
        <f t="shared" si="4"/>
        <v>0</v>
      </c>
      <c r="AB31" s="130">
        <f t="shared" si="4"/>
        <v>0</v>
      </c>
      <c r="AC31" s="130">
        <f t="shared" si="4"/>
        <v>0</v>
      </c>
      <c r="AD31" s="130">
        <f t="shared" si="4"/>
        <v>9860</v>
      </c>
      <c r="AE31" s="130">
        <f t="shared" si="4"/>
        <v>0</v>
      </c>
      <c r="AF31" s="130">
        <f t="shared" si="4"/>
        <v>0</v>
      </c>
      <c r="AG31" s="120">
        <f t="shared" si="4"/>
        <v>0</v>
      </c>
      <c r="AH31" s="161">
        <f t="shared" si="4"/>
        <v>0</v>
      </c>
      <c r="AI31" s="134">
        <f t="shared" si="4"/>
        <v>0</v>
      </c>
      <c r="AJ31" s="143">
        <f t="shared" si="4"/>
        <v>101</v>
      </c>
      <c r="AK31" s="143">
        <f t="shared" si="4"/>
        <v>21180</v>
      </c>
      <c r="AL31" s="143">
        <f t="shared" si="4"/>
        <v>0</v>
      </c>
      <c r="AM31" s="143">
        <f t="shared" si="4"/>
        <v>0</v>
      </c>
      <c r="AN31" s="145">
        <f>SUM(C31:AM31)</f>
        <v>253822</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216</v>
      </c>
      <c r="B33" s="309" t="s">
        <v>487</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117</v>
      </c>
      <c r="B34" s="179" t="s">
        <v>217</v>
      </c>
      <c r="C34" s="121">
        <v>1703</v>
      </c>
      <c r="D34" s="122"/>
      <c r="E34" s="123"/>
      <c r="F34" s="123">
        <v>121</v>
      </c>
      <c r="G34" s="123"/>
      <c r="H34" s="119"/>
      <c r="I34" s="123">
        <v>995</v>
      </c>
      <c r="J34" s="123">
        <v>2427</v>
      </c>
      <c r="K34" s="120"/>
      <c r="L34" s="123"/>
      <c r="M34" s="123"/>
      <c r="N34" s="123"/>
      <c r="O34" s="123"/>
      <c r="P34" s="123"/>
      <c r="Q34" s="123">
        <v>550</v>
      </c>
      <c r="R34" s="123"/>
      <c r="S34" s="123"/>
      <c r="T34" s="123">
        <v>305</v>
      </c>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6101</v>
      </c>
      <c r="AO34" s="103"/>
    </row>
    <row r="35" spans="1:41" ht="14.45" customHeight="1" x14ac:dyDescent="0.2">
      <c r="A35" s="109" t="s">
        <v>118</v>
      </c>
      <c r="B35" s="179" t="s">
        <v>218</v>
      </c>
      <c r="C35" s="121">
        <v>285</v>
      </c>
      <c r="D35" s="122"/>
      <c r="E35" s="123"/>
      <c r="F35" s="123">
        <v>47</v>
      </c>
      <c r="G35" s="123"/>
      <c r="H35" s="119"/>
      <c r="I35" s="123">
        <v>804</v>
      </c>
      <c r="J35" s="123">
        <v>30</v>
      </c>
      <c r="K35" s="120"/>
      <c r="L35" s="123"/>
      <c r="M35" s="123"/>
      <c r="N35" s="123">
        <v>1752</v>
      </c>
      <c r="O35" s="123"/>
      <c r="P35" s="123"/>
      <c r="Q35" s="123"/>
      <c r="R35" s="123"/>
      <c r="S35" s="123"/>
      <c r="T35" s="123">
        <v>987</v>
      </c>
      <c r="U35" s="123"/>
      <c r="V35" s="417"/>
      <c r="W35" s="123"/>
      <c r="X35" s="123">
        <v>643</v>
      </c>
      <c r="Y35" s="123"/>
      <c r="Z35" s="123"/>
      <c r="AA35" s="123"/>
      <c r="AB35" s="123"/>
      <c r="AC35" s="123"/>
      <c r="AD35" s="123"/>
      <c r="AE35" s="123"/>
      <c r="AF35" s="123"/>
      <c r="AG35" s="120"/>
      <c r="AH35" s="110"/>
      <c r="AI35" s="124"/>
      <c r="AJ35" s="123"/>
      <c r="AK35" s="123">
        <v>307</v>
      </c>
      <c r="AL35" s="123"/>
      <c r="AM35" s="123"/>
      <c r="AN35" s="112">
        <f t="shared" si="5"/>
        <v>4855</v>
      </c>
      <c r="AO35" s="103"/>
    </row>
    <row r="36" spans="1:41" ht="14.45" customHeight="1" x14ac:dyDescent="0.2">
      <c r="A36" s="109" t="s">
        <v>119</v>
      </c>
      <c r="B36" s="179" t="s">
        <v>219</v>
      </c>
      <c r="C36" s="121">
        <v>391</v>
      </c>
      <c r="D36" s="122"/>
      <c r="E36" s="123"/>
      <c r="F36" s="123">
        <v>20</v>
      </c>
      <c r="G36" s="123"/>
      <c r="H36" s="119"/>
      <c r="I36" s="123">
        <v>56</v>
      </c>
      <c r="J36" s="123">
        <v>604</v>
      </c>
      <c r="K36" s="120"/>
      <c r="L36" s="123"/>
      <c r="M36" s="123"/>
      <c r="N36" s="123"/>
      <c r="O36" s="123"/>
      <c r="P36" s="123"/>
      <c r="Q36" s="123"/>
      <c r="R36" s="123"/>
      <c r="S36" s="123"/>
      <c r="T36" s="123">
        <v>2</v>
      </c>
      <c r="U36" s="123"/>
      <c r="V36" s="417"/>
      <c r="W36" s="123"/>
      <c r="X36" s="123"/>
      <c r="Y36" s="123"/>
      <c r="Z36" s="123"/>
      <c r="AA36" s="123"/>
      <c r="AB36" s="123"/>
      <c r="AC36" s="123"/>
      <c r="AD36" s="123"/>
      <c r="AE36" s="123"/>
      <c r="AF36" s="123"/>
      <c r="AG36" s="120"/>
      <c r="AH36" s="110"/>
      <c r="AI36" s="124"/>
      <c r="AJ36" s="123"/>
      <c r="AK36" s="123"/>
      <c r="AL36" s="123"/>
      <c r="AM36" s="123"/>
      <c r="AN36" s="112">
        <f t="shared" si="5"/>
        <v>1073</v>
      </c>
      <c r="AO36" s="103"/>
    </row>
    <row r="37" spans="1:41" ht="14.45" customHeight="1" x14ac:dyDescent="0.2">
      <c r="A37" s="109" t="s">
        <v>220</v>
      </c>
      <c r="B37" s="179" t="s">
        <v>221</v>
      </c>
      <c r="C37" s="121"/>
      <c r="D37" s="122"/>
      <c r="E37" s="123"/>
      <c r="F37" s="123"/>
      <c r="G37" s="123"/>
      <c r="H37" s="119"/>
      <c r="I37" s="123"/>
      <c r="J37" s="123">
        <v>166</v>
      </c>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166</v>
      </c>
      <c r="AO37" s="103"/>
    </row>
    <row r="38" spans="1:41" ht="14.45" customHeight="1" x14ac:dyDescent="0.2">
      <c r="A38" s="109" t="s">
        <v>222</v>
      </c>
      <c r="B38" s="179" t="s">
        <v>223</v>
      </c>
      <c r="C38" s="121"/>
      <c r="D38" s="122"/>
      <c r="E38" s="123"/>
      <c r="F38" s="123"/>
      <c r="G38" s="123"/>
      <c r="H38" s="119"/>
      <c r="I38" s="123"/>
      <c r="J38" s="123">
        <v>159</v>
      </c>
      <c r="K38" s="120"/>
      <c r="L38" s="123"/>
      <c r="M38" s="123"/>
      <c r="N38" s="123"/>
      <c r="O38" s="123"/>
      <c r="P38" s="123"/>
      <c r="Q38" s="123"/>
      <c r="R38" s="123"/>
      <c r="S38" s="123"/>
      <c r="T38" s="123">
        <v>-53</v>
      </c>
      <c r="U38" s="123"/>
      <c r="V38" s="417"/>
      <c r="W38" s="123"/>
      <c r="X38" s="123"/>
      <c r="Y38" s="123"/>
      <c r="Z38" s="123"/>
      <c r="AA38" s="123"/>
      <c r="AB38" s="123"/>
      <c r="AC38" s="123"/>
      <c r="AD38" s="123"/>
      <c r="AE38" s="123"/>
      <c r="AF38" s="123"/>
      <c r="AG38" s="120"/>
      <c r="AH38" s="110"/>
      <c r="AI38" s="124"/>
      <c r="AJ38" s="123"/>
      <c r="AK38" s="123"/>
      <c r="AL38" s="123"/>
      <c r="AM38" s="123"/>
      <c r="AN38" s="112">
        <f t="shared" si="5"/>
        <v>106</v>
      </c>
      <c r="AO38" s="103"/>
    </row>
    <row r="39" spans="1:41" ht="14.45" customHeight="1" x14ac:dyDescent="0.2">
      <c r="A39" s="109" t="s">
        <v>224</v>
      </c>
      <c r="B39" s="179" t="s">
        <v>225</v>
      </c>
      <c r="C39" s="121">
        <v>2083</v>
      </c>
      <c r="D39" s="122"/>
      <c r="E39" s="123"/>
      <c r="F39" s="123"/>
      <c r="G39" s="123"/>
      <c r="H39" s="119"/>
      <c r="I39" s="123">
        <v>7</v>
      </c>
      <c r="J39" s="123">
        <v>117</v>
      </c>
      <c r="K39" s="120"/>
      <c r="L39" s="123"/>
      <c r="M39" s="123"/>
      <c r="N39" s="123">
        <v>1071</v>
      </c>
      <c r="O39" s="123"/>
      <c r="P39" s="123"/>
      <c r="Q39" s="123"/>
      <c r="R39" s="123"/>
      <c r="S39" s="123"/>
      <c r="T39" s="123">
        <v>4511</v>
      </c>
      <c r="U39" s="123"/>
      <c r="V39" s="417"/>
      <c r="W39" s="123"/>
      <c r="X39" s="123"/>
      <c r="Y39" s="123"/>
      <c r="Z39" s="123"/>
      <c r="AA39" s="123"/>
      <c r="AB39" s="123"/>
      <c r="AC39" s="123"/>
      <c r="AD39" s="123"/>
      <c r="AE39" s="123"/>
      <c r="AF39" s="123"/>
      <c r="AG39" s="120"/>
      <c r="AH39" s="110"/>
      <c r="AI39" s="124"/>
      <c r="AJ39" s="123"/>
      <c r="AK39" s="123"/>
      <c r="AL39" s="123"/>
      <c r="AM39" s="123"/>
      <c r="AN39" s="112">
        <f t="shared" si="5"/>
        <v>7789</v>
      </c>
      <c r="AO39" s="103"/>
    </row>
    <row r="40" spans="1:41" ht="14.45" customHeight="1" x14ac:dyDescent="0.2">
      <c r="A40" s="544" t="s">
        <v>226</v>
      </c>
      <c r="B40" s="545"/>
      <c r="C40" s="146">
        <f>SUM(C34:C39)</f>
        <v>4462</v>
      </c>
      <c r="D40" s="144">
        <f t="shared" ref="D40:AM40" si="6">SUM(D34:D39)</f>
        <v>0</v>
      </c>
      <c r="E40" s="130">
        <f t="shared" si="6"/>
        <v>0</v>
      </c>
      <c r="F40" s="143">
        <f t="shared" si="6"/>
        <v>188</v>
      </c>
      <c r="G40" s="143">
        <f t="shared" si="6"/>
        <v>0</v>
      </c>
      <c r="H40" s="119">
        <f t="shared" si="6"/>
        <v>0</v>
      </c>
      <c r="I40" s="143">
        <f t="shared" si="6"/>
        <v>1862</v>
      </c>
      <c r="J40" s="143">
        <f t="shared" si="6"/>
        <v>3503</v>
      </c>
      <c r="K40" s="120">
        <f t="shared" si="6"/>
        <v>0</v>
      </c>
      <c r="L40" s="123">
        <f t="shared" si="6"/>
        <v>0</v>
      </c>
      <c r="M40" s="143">
        <f t="shared" si="6"/>
        <v>0</v>
      </c>
      <c r="N40" s="143">
        <f t="shared" si="6"/>
        <v>2823</v>
      </c>
      <c r="O40" s="143">
        <f t="shared" si="6"/>
        <v>0</v>
      </c>
      <c r="P40" s="143">
        <f t="shared" si="6"/>
        <v>0</v>
      </c>
      <c r="Q40" s="143">
        <f t="shared" si="6"/>
        <v>550</v>
      </c>
      <c r="R40" s="143">
        <f t="shared" si="6"/>
        <v>0</v>
      </c>
      <c r="S40" s="143">
        <f t="shared" si="6"/>
        <v>0</v>
      </c>
      <c r="T40" s="143">
        <f t="shared" si="6"/>
        <v>5752</v>
      </c>
      <c r="U40" s="130">
        <f t="shared" si="6"/>
        <v>0</v>
      </c>
      <c r="V40" s="130">
        <f t="shared" si="6"/>
        <v>0</v>
      </c>
      <c r="W40" s="130">
        <f t="shared" si="6"/>
        <v>0</v>
      </c>
      <c r="X40" s="143">
        <f t="shared" si="6"/>
        <v>643</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307</v>
      </c>
      <c r="AL40" s="143">
        <f t="shared" si="6"/>
        <v>0</v>
      </c>
      <c r="AM40" s="143">
        <f t="shared" si="6"/>
        <v>0</v>
      </c>
      <c r="AN40" s="145">
        <f t="shared" si="5"/>
        <v>20090</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227</v>
      </c>
      <c r="B42" s="309" t="s">
        <v>228</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229</v>
      </c>
      <c r="B43" s="179" t="s">
        <v>230</v>
      </c>
      <c r="C43" s="121">
        <v>689</v>
      </c>
      <c r="D43" s="122"/>
      <c r="E43" s="123"/>
      <c r="F43" s="123">
        <v>19</v>
      </c>
      <c r="G43" s="123"/>
      <c r="H43" s="119"/>
      <c r="I43" s="123">
        <v>76</v>
      </c>
      <c r="J43" s="123">
        <v>3156</v>
      </c>
      <c r="K43" s="120"/>
      <c r="L43" s="123"/>
      <c r="M43" s="123"/>
      <c r="N43" s="123">
        <v>9</v>
      </c>
      <c r="O43" s="123"/>
      <c r="P43" s="123">
        <v>8</v>
      </c>
      <c r="Q43" s="123"/>
      <c r="R43" s="123">
        <v>7</v>
      </c>
      <c r="S43" s="123"/>
      <c r="T43" s="123">
        <v>5324</v>
      </c>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9288</v>
      </c>
      <c r="AO43" s="103"/>
    </row>
    <row r="44" spans="1:41" ht="14.45" customHeight="1" x14ac:dyDescent="0.2">
      <c r="A44" s="109" t="s">
        <v>124</v>
      </c>
      <c r="B44" s="179" t="s">
        <v>231</v>
      </c>
      <c r="C44" s="121"/>
      <c r="D44" s="122"/>
      <c r="E44" s="123"/>
      <c r="F44" s="123"/>
      <c r="G44" s="123"/>
      <c r="H44" s="119"/>
      <c r="I44" s="123"/>
      <c r="J44" s="123">
        <v>52</v>
      </c>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52</v>
      </c>
      <c r="AO44" s="103"/>
    </row>
    <row r="45" spans="1:41" ht="14.45" customHeight="1" x14ac:dyDescent="0.2">
      <c r="A45" s="109" t="s">
        <v>232</v>
      </c>
      <c r="B45" s="179" t="s">
        <v>233</v>
      </c>
      <c r="C45" s="121">
        <v>98</v>
      </c>
      <c r="D45" s="122"/>
      <c r="E45" s="123"/>
      <c r="F45" s="123"/>
      <c r="G45" s="123"/>
      <c r="H45" s="119"/>
      <c r="I45" s="123"/>
      <c r="J45" s="123">
        <v>-6</v>
      </c>
      <c r="K45" s="120"/>
      <c r="L45" s="123"/>
      <c r="M45" s="123"/>
      <c r="N45" s="123"/>
      <c r="O45" s="123"/>
      <c r="P45" s="123"/>
      <c r="Q45" s="123"/>
      <c r="R45" s="123"/>
      <c r="S45" s="123"/>
      <c r="T45" s="123">
        <v>100</v>
      </c>
      <c r="U45" s="123"/>
      <c r="V45" s="417"/>
      <c r="W45" s="123"/>
      <c r="X45" s="123"/>
      <c r="Y45" s="123"/>
      <c r="Z45" s="123"/>
      <c r="AA45" s="123"/>
      <c r="AB45" s="123"/>
      <c r="AC45" s="123"/>
      <c r="AD45" s="123"/>
      <c r="AE45" s="123"/>
      <c r="AF45" s="123"/>
      <c r="AG45" s="120"/>
      <c r="AH45" s="110"/>
      <c r="AI45" s="124"/>
      <c r="AJ45" s="123"/>
      <c r="AK45" s="123"/>
      <c r="AL45" s="123"/>
      <c r="AM45" s="123"/>
      <c r="AN45" s="112">
        <f t="shared" si="7"/>
        <v>192</v>
      </c>
      <c r="AO45" s="103"/>
    </row>
    <row r="46" spans="1:41" ht="14.45" customHeight="1" x14ac:dyDescent="0.2">
      <c r="A46" s="109" t="s">
        <v>234</v>
      </c>
      <c r="B46" s="179" t="s">
        <v>235</v>
      </c>
      <c r="C46" s="121"/>
      <c r="D46" s="122"/>
      <c r="E46" s="123"/>
      <c r="F46" s="123">
        <v>162</v>
      </c>
      <c r="G46" s="123"/>
      <c r="H46" s="119"/>
      <c r="I46" s="123"/>
      <c r="J46" s="123">
        <v>12049</v>
      </c>
      <c r="K46" s="120"/>
      <c r="L46" s="123"/>
      <c r="M46" s="123"/>
      <c r="N46" s="123"/>
      <c r="O46" s="123"/>
      <c r="P46" s="123">
        <v>8</v>
      </c>
      <c r="Q46" s="123"/>
      <c r="R46" s="123">
        <v>-1057</v>
      </c>
      <c r="S46" s="123"/>
      <c r="T46" s="123">
        <v>366</v>
      </c>
      <c r="U46" s="123"/>
      <c r="V46" s="417"/>
      <c r="W46" s="123"/>
      <c r="X46" s="123"/>
      <c r="Y46" s="123"/>
      <c r="Z46" s="123"/>
      <c r="AA46" s="123"/>
      <c r="AB46" s="123"/>
      <c r="AC46" s="123"/>
      <c r="AD46" s="123"/>
      <c r="AE46" s="123"/>
      <c r="AF46" s="123"/>
      <c r="AG46" s="120"/>
      <c r="AH46" s="110"/>
      <c r="AI46" s="124"/>
      <c r="AJ46" s="123"/>
      <c r="AK46" s="123">
        <v>7</v>
      </c>
      <c r="AL46" s="123"/>
      <c r="AM46" s="123"/>
      <c r="AN46" s="112">
        <f t="shared" si="7"/>
        <v>11535</v>
      </c>
      <c r="AO46" s="103"/>
    </row>
    <row r="47" spans="1:41" ht="14.45" customHeight="1" x14ac:dyDescent="0.2">
      <c r="A47" s="109" t="s">
        <v>236</v>
      </c>
      <c r="B47" s="179" t="s">
        <v>237</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238</v>
      </c>
      <c r="B48" s="179" t="s">
        <v>239</v>
      </c>
      <c r="C48" s="121">
        <v>3985</v>
      </c>
      <c r="D48" s="122"/>
      <c r="E48" s="123"/>
      <c r="F48" s="123">
        <v>8</v>
      </c>
      <c r="G48" s="123"/>
      <c r="H48" s="119"/>
      <c r="I48" s="123">
        <v>655</v>
      </c>
      <c r="J48" s="123">
        <v>2031</v>
      </c>
      <c r="K48" s="120"/>
      <c r="L48" s="123"/>
      <c r="M48" s="123"/>
      <c r="N48" s="123">
        <v>862</v>
      </c>
      <c r="O48" s="123"/>
      <c r="P48" s="123"/>
      <c r="Q48" s="123"/>
      <c r="R48" s="123">
        <v>335</v>
      </c>
      <c r="S48" s="123"/>
      <c r="T48" s="123">
        <v>1486</v>
      </c>
      <c r="U48" s="123"/>
      <c r="V48" s="417"/>
      <c r="W48" s="123"/>
      <c r="X48" s="123"/>
      <c r="Y48" s="123"/>
      <c r="Z48" s="123"/>
      <c r="AA48" s="123"/>
      <c r="AB48" s="123"/>
      <c r="AC48" s="123"/>
      <c r="AD48" s="123">
        <v>470</v>
      </c>
      <c r="AE48" s="123"/>
      <c r="AF48" s="123"/>
      <c r="AG48" s="120"/>
      <c r="AH48" s="110"/>
      <c r="AI48" s="124"/>
      <c r="AJ48" s="123">
        <v>28000</v>
      </c>
      <c r="AK48" s="123"/>
      <c r="AL48" s="123"/>
      <c r="AM48" s="123"/>
      <c r="AN48" s="112">
        <f t="shared" si="7"/>
        <v>37832</v>
      </c>
      <c r="AO48" s="103"/>
    </row>
    <row r="49" spans="1:41" ht="14.45" customHeight="1" x14ac:dyDescent="0.2">
      <c r="A49" s="109" t="s">
        <v>240</v>
      </c>
      <c r="B49" s="179" t="s">
        <v>241</v>
      </c>
      <c r="C49" s="121">
        <v>8860</v>
      </c>
      <c r="D49" s="122"/>
      <c r="E49" s="123"/>
      <c r="F49" s="123">
        <v>7</v>
      </c>
      <c r="G49" s="123"/>
      <c r="H49" s="119"/>
      <c r="I49" s="123">
        <v>49</v>
      </c>
      <c r="J49" s="123">
        <v>139</v>
      </c>
      <c r="K49" s="119"/>
      <c r="L49" s="123"/>
      <c r="M49" s="123"/>
      <c r="N49" s="123">
        <v>45</v>
      </c>
      <c r="O49" s="123"/>
      <c r="P49" s="123"/>
      <c r="Q49" s="123"/>
      <c r="R49" s="123">
        <v>48</v>
      </c>
      <c r="S49" s="123"/>
      <c r="T49" s="123">
        <v>30</v>
      </c>
      <c r="U49" s="123"/>
      <c r="V49" s="417"/>
      <c r="W49" s="123"/>
      <c r="X49" s="123"/>
      <c r="Y49" s="123"/>
      <c r="Z49" s="123"/>
      <c r="AA49" s="123"/>
      <c r="AB49" s="123"/>
      <c r="AC49" s="123"/>
      <c r="AD49" s="123"/>
      <c r="AE49" s="123"/>
      <c r="AF49" s="123"/>
      <c r="AG49" s="120"/>
      <c r="AH49" s="110"/>
      <c r="AI49" s="124"/>
      <c r="AJ49" s="123"/>
      <c r="AK49" s="123"/>
      <c r="AL49" s="123"/>
      <c r="AM49" s="123"/>
      <c r="AN49" s="112">
        <f t="shared" si="7"/>
        <v>9178</v>
      </c>
      <c r="AO49" s="103"/>
    </row>
    <row r="50" spans="1:41" ht="14.45" customHeight="1" x14ac:dyDescent="0.2">
      <c r="A50" s="544" t="s">
        <v>242</v>
      </c>
      <c r="B50" s="545"/>
      <c r="C50" s="146">
        <f>SUM(C43:C49)</f>
        <v>13632</v>
      </c>
      <c r="D50" s="144">
        <f t="shared" ref="D50:AM50" si="8">SUM(D43:D49)</f>
        <v>0</v>
      </c>
      <c r="E50" s="130">
        <f t="shared" si="8"/>
        <v>0</v>
      </c>
      <c r="F50" s="143">
        <f t="shared" si="8"/>
        <v>196</v>
      </c>
      <c r="G50" s="143">
        <f t="shared" si="8"/>
        <v>0</v>
      </c>
      <c r="H50" s="119">
        <f t="shared" si="8"/>
        <v>0</v>
      </c>
      <c r="I50" s="143">
        <f t="shared" si="8"/>
        <v>780</v>
      </c>
      <c r="J50" s="143">
        <f t="shared" si="8"/>
        <v>17421</v>
      </c>
      <c r="K50" s="119">
        <f t="shared" si="8"/>
        <v>0</v>
      </c>
      <c r="L50" s="143">
        <f t="shared" si="8"/>
        <v>0</v>
      </c>
      <c r="M50" s="143">
        <f t="shared" si="8"/>
        <v>0</v>
      </c>
      <c r="N50" s="143">
        <f t="shared" si="8"/>
        <v>916</v>
      </c>
      <c r="O50" s="143">
        <f t="shared" si="8"/>
        <v>0</v>
      </c>
      <c r="P50" s="143">
        <f t="shared" si="8"/>
        <v>16</v>
      </c>
      <c r="Q50" s="143">
        <f t="shared" si="8"/>
        <v>0</v>
      </c>
      <c r="R50" s="143">
        <f t="shared" si="8"/>
        <v>-667</v>
      </c>
      <c r="S50" s="143">
        <f t="shared" si="8"/>
        <v>0</v>
      </c>
      <c r="T50" s="143">
        <f t="shared" si="8"/>
        <v>7306</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470</v>
      </c>
      <c r="AE50" s="130">
        <f t="shared" si="8"/>
        <v>0</v>
      </c>
      <c r="AF50" s="130">
        <f t="shared" si="8"/>
        <v>0</v>
      </c>
      <c r="AG50" s="120">
        <f t="shared" si="8"/>
        <v>0</v>
      </c>
      <c r="AH50" s="110">
        <f t="shared" si="8"/>
        <v>0</v>
      </c>
      <c r="AI50" s="134">
        <f t="shared" si="8"/>
        <v>0</v>
      </c>
      <c r="AJ50" s="143">
        <f t="shared" si="8"/>
        <v>28000</v>
      </c>
      <c r="AK50" s="143">
        <f t="shared" si="8"/>
        <v>7</v>
      </c>
      <c r="AL50" s="143">
        <f t="shared" si="8"/>
        <v>0</v>
      </c>
      <c r="AM50" s="143">
        <f t="shared" si="8"/>
        <v>0</v>
      </c>
      <c r="AN50" s="145">
        <f t="shared" si="7"/>
        <v>68077</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243</v>
      </c>
      <c r="B52" s="309" t="s">
        <v>244</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135</v>
      </c>
      <c r="B53" s="179" t="s">
        <v>245</v>
      </c>
      <c r="C53" s="121">
        <v>2039</v>
      </c>
      <c r="D53" s="122"/>
      <c r="E53" s="123"/>
      <c r="F53" s="123">
        <v>8</v>
      </c>
      <c r="G53" s="123">
        <v>57</v>
      </c>
      <c r="H53" s="119"/>
      <c r="I53" s="123">
        <v>5</v>
      </c>
      <c r="J53" s="123">
        <v>1528</v>
      </c>
      <c r="K53" s="120"/>
      <c r="L53" s="123"/>
      <c r="M53" s="123"/>
      <c r="N53" s="123">
        <v>50</v>
      </c>
      <c r="O53" s="123"/>
      <c r="P53" s="123"/>
      <c r="Q53" s="123"/>
      <c r="R53" s="123">
        <v>11</v>
      </c>
      <c r="S53" s="123"/>
      <c r="T53" s="123">
        <v>-26</v>
      </c>
      <c r="U53" s="123"/>
      <c r="V53" s="417"/>
      <c r="W53" s="123"/>
      <c r="X53" s="123"/>
      <c r="Y53" s="123"/>
      <c r="Z53" s="123"/>
      <c r="AA53" s="123"/>
      <c r="AB53" s="123"/>
      <c r="AC53" s="123"/>
      <c r="AD53" s="123"/>
      <c r="AE53" s="123"/>
      <c r="AF53" s="123"/>
      <c r="AG53" s="120"/>
      <c r="AH53" s="110"/>
      <c r="AI53" s="124"/>
      <c r="AJ53" s="123"/>
      <c r="AK53" s="123"/>
      <c r="AL53" s="123"/>
      <c r="AM53" s="123">
        <v>6910</v>
      </c>
      <c r="AN53" s="112">
        <f>SUM(C53:AM53)</f>
        <v>10582</v>
      </c>
      <c r="AO53" s="103"/>
    </row>
    <row r="54" spans="1:41" ht="14.45" customHeight="1" x14ac:dyDescent="0.2">
      <c r="A54" s="109" t="s">
        <v>246</v>
      </c>
      <c r="B54" s="179" t="s">
        <v>247</v>
      </c>
      <c r="C54" s="121">
        <v>303</v>
      </c>
      <c r="D54" s="122"/>
      <c r="E54" s="123">
        <v>987</v>
      </c>
      <c r="F54" s="123"/>
      <c r="G54" s="123"/>
      <c r="H54" s="119"/>
      <c r="I54" s="123">
        <v>12</v>
      </c>
      <c r="J54" s="123">
        <v>4794</v>
      </c>
      <c r="K54" s="120"/>
      <c r="L54" s="123"/>
      <c r="M54" s="123">
        <v>1222</v>
      </c>
      <c r="N54" s="123">
        <v>-52</v>
      </c>
      <c r="O54" s="123"/>
      <c r="P54" s="123">
        <v>-1</v>
      </c>
      <c r="Q54" s="123"/>
      <c r="R54" s="123">
        <v>3449</v>
      </c>
      <c r="S54" s="123"/>
      <c r="T54" s="123">
        <v>28137</v>
      </c>
      <c r="U54" s="123"/>
      <c r="V54" s="417"/>
      <c r="W54" s="123"/>
      <c r="X54" s="123">
        <v>-87</v>
      </c>
      <c r="Y54" s="123"/>
      <c r="Z54" s="123"/>
      <c r="AA54" s="123"/>
      <c r="AB54" s="123"/>
      <c r="AC54" s="123"/>
      <c r="AD54" s="123"/>
      <c r="AE54" s="123"/>
      <c r="AF54" s="123"/>
      <c r="AG54" s="120"/>
      <c r="AH54" s="110"/>
      <c r="AI54" s="124"/>
      <c r="AJ54" s="123"/>
      <c r="AK54" s="123"/>
      <c r="AL54" s="123"/>
      <c r="AM54" s="123"/>
      <c r="AN54" s="112">
        <f>SUM(C54:AM54)</f>
        <v>38764</v>
      </c>
      <c r="AO54" s="103"/>
    </row>
    <row r="55" spans="1:41" ht="14.45" customHeight="1" x14ac:dyDescent="0.2">
      <c r="A55" s="109" t="s">
        <v>248</v>
      </c>
      <c r="B55" s="179" t="s">
        <v>249</v>
      </c>
      <c r="C55" s="121">
        <v>3166</v>
      </c>
      <c r="D55" s="122"/>
      <c r="E55" s="123">
        <v>151</v>
      </c>
      <c r="F55" s="123">
        <v>4</v>
      </c>
      <c r="G55" s="123"/>
      <c r="H55" s="119"/>
      <c r="I55" s="123">
        <v>80</v>
      </c>
      <c r="J55" s="123">
        <v>932</v>
      </c>
      <c r="K55" s="120"/>
      <c r="L55" s="123"/>
      <c r="M55" s="123"/>
      <c r="N55" s="123">
        <v>505</v>
      </c>
      <c r="O55" s="123"/>
      <c r="P55" s="123"/>
      <c r="Q55" s="123"/>
      <c r="R55" s="123"/>
      <c r="S55" s="123"/>
      <c r="T55" s="123">
        <v>772</v>
      </c>
      <c r="U55" s="123"/>
      <c r="V55" s="417"/>
      <c r="W55" s="123"/>
      <c r="X55" s="123"/>
      <c r="Y55" s="123"/>
      <c r="Z55" s="123"/>
      <c r="AA55" s="123"/>
      <c r="AB55" s="123"/>
      <c r="AC55" s="123"/>
      <c r="AD55" s="123"/>
      <c r="AE55" s="123"/>
      <c r="AF55" s="123"/>
      <c r="AG55" s="120"/>
      <c r="AH55" s="110"/>
      <c r="AI55" s="124"/>
      <c r="AJ55" s="123"/>
      <c r="AK55" s="123"/>
      <c r="AL55" s="123"/>
      <c r="AM55" s="123"/>
      <c r="AN55" s="112">
        <f>SUM(C55:AM55)</f>
        <v>5610</v>
      </c>
      <c r="AO55" s="103"/>
    </row>
    <row r="56" spans="1:41" ht="14.45" customHeight="1" x14ac:dyDescent="0.2">
      <c r="A56" s="109" t="s">
        <v>250</v>
      </c>
      <c r="B56" s="179" t="s">
        <v>251</v>
      </c>
      <c r="C56" s="121">
        <v>5316</v>
      </c>
      <c r="D56" s="122"/>
      <c r="E56" s="123"/>
      <c r="F56" s="123">
        <v>13</v>
      </c>
      <c r="G56" s="123"/>
      <c r="H56" s="119"/>
      <c r="I56" s="123">
        <v>905</v>
      </c>
      <c r="J56" s="123">
        <v>1964</v>
      </c>
      <c r="K56" s="120"/>
      <c r="L56" s="123"/>
      <c r="M56" s="123"/>
      <c r="N56" s="123">
        <v>73</v>
      </c>
      <c r="O56" s="123"/>
      <c r="P56" s="123">
        <v>7</v>
      </c>
      <c r="Q56" s="123">
        <v>-183</v>
      </c>
      <c r="R56" s="123"/>
      <c r="S56" s="123"/>
      <c r="T56" s="123">
        <v>15286</v>
      </c>
      <c r="U56" s="123"/>
      <c r="V56" s="417"/>
      <c r="W56" s="123"/>
      <c r="X56" s="123"/>
      <c r="Y56" s="123"/>
      <c r="Z56" s="123"/>
      <c r="AA56" s="123"/>
      <c r="AB56" s="123"/>
      <c r="AC56" s="123"/>
      <c r="AD56" s="123"/>
      <c r="AE56" s="123"/>
      <c r="AF56" s="123"/>
      <c r="AG56" s="120"/>
      <c r="AH56" s="110"/>
      <c r="AI56" s="124"/>
      <c r="AJ56" s="123"/>
      <c r="AK56" s="123"/>
      <c r="AL56" s="123"/>
      <c r="AM56" s="123"/>
      <c r="AN56" s="112">
        <f>SUM(C56:AM56)</f>
        <v>23381</v>
      </c>
      <c r="AO56" s="103"/>
    </row>
    <row r="57" spans="1:41" ht="14.45" customHeight="1" x14ac:dyDescent="0.2">
      <c r="A57" s="544" t="s">
        <v>252</v>
      </c>
      <c r="B57" s="545"/>
      <c r="C57" s="146">
        <f>SUM(C53:C56)</f>
        <v>10824</v>
      </c>
      <c r="D57" s="144">
        <f t="shared" ref="D57:AM57" si="9">SUM(D53:D56)</f>
        <v>0</v>
      </c>
      <c r="E57" s="130">
        <f t="shared" si="9"/>
        <v>1138</v>
      </c>
      <c r="F57" s="143">
        <f t="shared" si="9"/>
        <v>25</v>
      </c>
      <c r="G57" s="143">
        <f t="shared" si="9"/>
        <v>57</v>
      </c>
      <c r="H57" s="119">
        <f t="shared" si="9"/>
        <v>0</v>
      </c>
      <c r="I57" s="143">
        <f t="shared" si="9"/>
        <v>1002</v>
      </c>
      <c r="J57" s="143">
        <f t="shared" si="9"/>
        <v>9218</v>
      </c>
      <c r="K57" s="120">
        <f t="shared" si="9"/>
        <v>0</v>
      </c>
      <c r="L57" s="123">
        <f t="shared" si="9"/>
        <v>0</v>
      </c>
      <c r="M57" s="143">
        <f t="shared" si="9"/>
        <v>1222</v>
      </c>
      <c r="N57" s="143">
        <f t="shared" si="9"/>
        <v>576</v>
      </c>
      <c r="O57" s="143">
        <f t="shared" si="9"/>
        <v>0</v>
      </c>
      <c r="P57" s="143">
        <f t="shared" si="9"/>
        <v>6</v>
      </c>
      <c r="Q57" s="143">
        <f t="shared" si="9"/>
        <v>-183</v>
      </c>
      <c r="R57" s="143">
        <f t="shared" si="9"/>
        <v>3460</v>
      </c>
      <c r="S57" s="143">
        <f t="shared" si="9"/>
        <v>0</v>
      </c>
      <c r="T57" s="143">
        <f t="shared" si="9"/>
        <v>44169</v>
      </c>
      <c r="U57" s="130">
        <f t="shared" si="9"/>
        <v>0</v>
      </c>
      <c r="V57" s="130">
        <f t="shared" si="9"/>
        <v>0</v>
      </c>
      <c r="W57" s="130">
        <f t="shared" si="9"/>
        <v>0</v>
      </c>
      <c r="X57" s="143">
        <f t="shared" si="9"/>
        <v>-87</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6910</v>
      </c>
      <c r="AN57" s="145">
        <f>SUM(C57:AM57)</f>
        <v>78337</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253</v>
      </c>
      <c r="B59" s="310" t="s">
        <v>254</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136</v>
      </c>
      <c r="B60" s="179" t="s">
        <v>255</v>
      </c>
      <c r="C60" s="121"/>
      <c r="D60" s="122"/>
      <c r="E60" s="123"/>
      <c r="F60" s="123"/>
      <c r="G60" s="123"/>
      <c r="H60" s="119"/>
      <c r="I60" s="123"/>
      <c r="J60" s="123">
        <v>331</v>
      </c>
      <c r="K60" s="119"/>
      <c r="L60" s="123">
        <v>1514</v>
      </c>
      <c r="M60" s="123">
        <v>209</v>
      </c>
      <c r="N60" s="123">
        <v>80</v>
      </c>
      <c r="O60" s="123">
        <v>15</v>
      </c>
      <c r="P60" s="123"/>
      <c r="Q60" s="123"/>
      <c r="R60" s="123">
        <v>2531</v>
      </c>
      <c r="S60" s="123"/>
      <c r="T60" s="123">
        <v>4795</v>
      </c>
      <c r="U60" s="123"/>
      <c r="V60" s="417"/>
      <c r="W60" s="123"/>
      <c r="X60" s="123"/>
      <c r="Y60" s="123"/>
      <c r="Z60" s="123"/>
      <c r="AA60" s="123"/>
      <c r="AB60" s="123"/>
      <c r="AC60" s="123"/>
      <c r="AD60" s="123">
        <v>560</v>
      </c>
      <c r="AE60" s="123"/>
      <c r="AF60" s="123"/>
      <c r="AG60" s="120"/>
      <c r="AH60" s="110"/>
      <c r="AI60" s="124"/>
      <c r="AJ60" s="123"/>
      <c r="AK60" s="123"/>
      <c r="AL60" s="123"/>
      <c r="AM60" s="123"/>
      <c r="AN60" s="112">
        <f t="shared" ref="AN60:AN65" si="10">SUM(C60:AM60)</f>
        <v>10035</v>
      </c>
      <c r="AO60" s="103"/>
    </row>
    <row r="61" spans="1:41" ht="14.45" customHeight="1" x14ac:dyDescent="0.2">
      <c r="A61" s="109" t="s">
        <v>256</v>
      </c>
      <c r="B61" s="179" t="s">
        <v>257</v>
      </c>
      <c r="C61" s="121"/>
      <c r="D61" s="122"/>
      <c r="E61" s="123"/>
      <c r="F61" s="123"/>
      <c r="G61" s="123"/>
      <c r="H61" s="119"/>
      <c r="I61" s="123"/>
      <c r="J61" s="123">
        <v>108</v>
      </c>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v>73</v>
      </c>
      <c r="AK61" s="123"/>
      <c r="AL61" s="123"/>
      <c r="AM61" s="123"/>
      <c r="AN61" s="112">
        <f t="shared" si="10"/>
        <v>181</v>
      </c>
      <c r="AO61" s="103"/>
    </row>
    <row r="62" spans="1:41" ht="14.45" customHeight="1" x14ac:dyDescent="0.2">
      <c r="A62" s="109" t="s">
        <v>258</v>
      </c>
      <c r="B62" s="179" t="s">
        <v>259</v>
      </c>
      <c r="C62" s="121">
        <v>2897</v>
      </c>
      <c r="D62" s="122"/>
      <c r="E62" s="123"/>
      <c r="F62" s="123"/>
      <c r="G62" s="123"/>
      <c r="H62" s="119"/>
      <c r="I62" s="123">
        <v>182</v>
      </c>
      <c r="J62" s="123">
        <v>1502</v>
      </c>
      <c r="K62" s="119"/>
      <c r="L62" s="123"/>
      <c r="M62" s="123"/>
      <c r="N62" s="123">
        <v>136</v>
      </c>
      <c r="O62" s="123"/>
      <c r="P62" s="123">
        <v>3</v>
      </c>
      <c r="Q62" s="123"/>
      <c r="R62" s="123">
        <v>1358</v>
      </c>
      <c r="S62" s="123"/>
      <c r="T62" s="123">
        <v>7886</v>
      </c>
      <c r="U62" s="123"/>
      <c r="V62" s="417"/>
      <c r="W62" s="123"/>
      <c r="X62" s="123"/>
      <c r="Y62" s="123"/>
      <c r="Z62" s="123"/>
      <c r="AA62" s="123"/>
      <c r="AB62" s="123"/>
      <c r="AC62" s="123"/>
      <c r="AD62" s="123">
        <v>3543</v>
      </c>
      <c r="AE62" s="123"/>
      <c r="AF62" s="123"/>
      <c r="AG62" s="120"/>
      <c r="AH62" s="110"/>
      <c r="AI62" s="124"/>
      <c r="AJ62" s="123"/>
      <c r="AK62" s="123">
        <v>65</v>
      </c>
      <c r="AL62" s="123"/>
      <c r="AM62" s="123">
        <v>23379</v>
      </c>
      <c r="AN62" s="112">
        <f t="shared" si="10"/>
        <v>40951</v>
      </c>
      <c r="AO62" s="103"/>
    </row>
    <row r="63" spans="1:41" ht="14.45" customHeight="1" x14ac:dyDescent="0.2">
      <c r="A63" s="109" t="s">
        <v>260</v>
      </c>
      <c r="B63" s="179" t="s">
        <v>261</v>
      </c>
      <c r="C63" s="121"/>
      <c r="D63" s="122"/>
      <c r="E63" s="123"/>
      <c r="F63" s="123">
        <v>88</v>
      </c>
      <c r="G63" s="123"/>
      <c r="H63" s="119"/>
      <c r="I63" s="123">
        <v>2</v>
      </c>
      <c r="J63" s="123">
        <v>79</v>
      </c>
      <c r="K63" s="119"/>
      <c r="L63" s="123"/>
      <c r="M63" s="123"/>
      <c r="N63" s="123"/>
      <c r="O63" s="123"/>
      <c r="P63" s="123">
        <v>8</v>
      </c>
      <c r="Q63" s="123"/>
      <c r="R63" s="123"/>
      <c r="S63" s="123"/>
      <c r="T63" s="123">
        <v>1945</v>
      </c>
      <c r="U63" s="123"/>
      <c r="V63" s="417"/>
      <c r="W63" s="123"/>
      <c r="X63" s="123"/>
      <c r="Y63" s="123"/>
      <c r="Z63" s="123"/>
      <c r="AA63" s="123"/>
      <c r="AB63" s="123"/>
      <c r="AC63" s="123"/>
      <c r="AD63" s="123"/>
      <c r="AE63" s="123"/>
      <c r="AF63" s="123"/>
      <c r="AG63" s="120"/>
      <c r="AH63" s="110"/>
      <c r="AI63" s="124"/>
      <c r="AJ63" s="123"/>
      <c r="AK63" s="123"/>
      <c r="AL63" s="123"/>
      <c r="AM63" s="123"/>
      <c r="AN63" s="112">
        <f t="shared" si="10"/>
        <v>2122</v>
      </c>
      <c r="AO63" s="103"/>
    </row>
    <row r="64" spans="1:41" ht="14.45" customHeight="1" x14ac:dyDescent="0.2">
      <c r="A64" s="109" t="s">
        <v>262</v>
      </c>
      <c r="B64" s="179" t="s">
        <v>263</v>
      </c>
      <c r="C64" s="121">
        <v>3678</v>
      </c>
      <c r="D64" s="122"/>
      <c r="E64" s="123"/>
      <c r="F64" s="123"/>
      <c r="G64" s="123"/>
      <c r="H64" s="119"/>
      <c r="I64" s="123">
        <v>271</v>
      </c>
      <c r="J64" s="123">
        <v>570</v>
      </c>
      <c r="K64" s="119"/>
      <c r="L64" s="123"/>
      <c r="M64" s="123"/>
      <c r="N64" s="123">
        <v>1772</v>
      </c>
      <c r="O64" s="123"/>
      <c r="P64" s="123">
        <v>11</v>
      </c>
      <c r="Q64" s="123"/>
      <c r="R64" s="123"/>
      <c r="S64" s="123"/>
      <c r="T64" s="123">
        <v>3676</v>
      </c>
      <c r="U64" s="123"/>
      <c r="V64" s="417"/>
      <c r="W64" s="123"/>
      <c r="X64" s="123"/>
      <c r="Y64" s="123"/>
      <c r="Z64" s="123"/>
      <c r="AA64" s="123"/>
      <c r="AB64" s="123"/>
      <c r="AC64" s="123"/>
      <c r="AD64" s="123"/>
      <c r="AE64" s="123"/>
      <c r="AF64" s="123"/>
      <c r="AG64" s="120"/>
      <c r="AH64" s="110"/>
      <c r="AI64" s="124"/>
      <c r="AJ64" s="123"/>
      <c r="AK64" s="123"/>
      <c r="AL64" s="123"/>
      <c r="AM64" s="123"/>
      <c r="AN64" s="125">
        <f t="shared" si="10"/>
        <v>9978</v>
      </c>
      <c r="AO64" s="103"/>
    </row>
    <row r="65" spans="1:41" ht="14.45" customHeight="1" x14ac:dyDescent="0.2">
      <c r="A65" s="544" t="s">
        <v>264</v>
      </c>
      <c r="B65" s="545"/>
      <c r="C65" s="121">
        <f>SUM(C60:C64)</f>
        <v>6575</v>
      </c>
      <c r="D65" s="123">
        <f t="shared" ref="D65:AM65" si="11">SUM(D60:D64)</f>
        <v>0</v>
      </c>
      <c r="E65" s="123">
        <f t="shared" si="11"/>
        <v>0</v>
      </c>
      <c r="F65" s="123">
        <f t="shared" si="11"/>
        <v>88</v>
      </c>
      <c r="G65" s="123">
        <f t="shared" si="11"/>
        <v>0</v>
      </c>
      <c r="H65" s="119">
        <f t="shared" si="11"/>
        <v>0</v>
      </c>
      <c r="I65" s="123">
        <f t="shared" si="11"/>
        <v>455</v>
      </c>
      <c r="J65" s="123">
        <f t="shared" si="11"/>
        <v>2590</v>
      </c>
      <c r="K65" s="119">
        <f t="shared" si="11"/>
        <v>0</v>
      </c>
      <c r="L65" s="123">
        <f t="shared" si="11"/>
        <v>1514</v>
      </c>
      <c r="M65" s="123">
        <f t="shared" si="11"/>
        <v>209</v>
      </c>
      <c r="N65" s="123">
        <f t="shared" si="11"/>
        <v>1988</v>
      </c>
      <c r="O65" s="123">
        <f t="shared" si="11"/>
        <v>15</v>
      </c>
      <c r="P65" s="123">
        <f t="shared" si="11"/>
        <v>22</v>
      </c>
      <c r="Q65" s="123">
        <f t="shared" si="11"/>
        <v>0</v>
      </c>
      <c r="R65" s="123">
        <f t="shared" si="11"/>
        <v>3889</v>
      </c>
      <c r="S65" s="123">
        <f t="shared" si="11"/>
        <v>0</v>
      </c>
      <c r="T65" s="123">
        <f t="shared" si="11"/>
        <v>18302</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4103</v>
      </c>
      <c r="AE65" s="123">
        <f t="shared" si="11"/>
        <v>0</v>
      </c>
      <c r="AF65" s="123">
        <f t="shared" si="11"/>
        <v>0</v>
      </c>
      <c r="AG65" s="120">
        <f t="shared" si="11"/>
        <v>0</v>
      </c>
      <c r="AH65" s="110">
        <f t="shared" si="11"/>
        <v>0</v>
      </c>
      <c r="AI65" s="124">
        <f t="shared" si="11"/>
        <v>0</v>
      </c>
      <c r="AJ65" s="123">
        <f t="shared" si="11"/>
        <v>73</v>
      </c>
      <c r="AK65" s="123">
        <f t="shared" si="11"/>
        <v>65</v>
      </c>
      <c r="AL65" s="123">
        <f t="shared" si="11"/>
        <v>0</v>
      </c>
      <c r="AM65" s="123">
        <f t="shared" si="11"/>
        <v>23379</v>
      </c>
      <c r="AN65" s="145">
        <f t="shared" si="10"/>
        <v>63267</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265</v>
      </c>
      <c r="B67" s="310" t="s">
        <v>266</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137</v>
      </c>
      <c r="B68" s="179" t="s">
        <v>267</v>
      </c>
      <c r="C68" s="121">
        <v>2120</v>
      </c>
      <c r="D68" s="122">
        <v>230</v>
      </c>
      <c r="E68" s="123"/>
      <c r="F68" s="123">
        <v>2</v>
      </c>
      <c r="G68" s="123"/>
      <c r="H68" s="119"/>
      <c r="I68" s="123">
        <v>7</v>
      </c>
      <c r="J68" s="123">
        <v>830</v>
      </c>
      <c r="K68" s="119"/>
      <c r="L68" s="123"/>
      <c r="M68" s="123"/>
      <c r="N68" s="123">
        <v>1156</v>
      </c>
      <c r="O68" s="123"/>
      <c r="P68" s="123"/>
      <c r="Q68" s="123"/>
      <c r="R68" s="123"/>
      <c r="S68" s="123"/>
      <c r="T68" s="123">
        <v>44611</v>
      </c>
      <c r="U68" s="123"/>
      <c r="V68" s="417"/>
      <c r="W68" s="123"/>
      <c r="X68" s="123"/>
      <c r="Y68" s="123"/>
      <c r="Z68" s="123"/>
      <c r="AA68" s="123"/>
      <c r="AB68" s="123"/>
      <c r="AC68" s="123"/>
      <c r="AD68" s="123"/>
      <c r="AE68" s="123"/>
      <c r="AF68" s="123"/>
      <c r="AG68" s="120"/>
      <c r="AH68" s="110"/>
      <c r="AI68" s="124"/>
      <c r="AJ68" s="123">
        <v>806</v>
      </c>
      <c r="AK68" s="123">
        <v>1340</v>
      </c>
      <c r="AL68" s="123"/>
      <c r="AM68" s="123"/>
      <c r="AN68" s="112">
        <f>SUM(C68:AM68)</f>
        <v>51102</v>
      </c>
      <c r="AO68" s="103"/>
    </row>
    <row r="69" spans="1:41" ht="14.45" customHeight="1" x14ac:dyDescent="0.2">
      <c r="A69" s="109" t="s">
        <v>138</v>
      </c>
      <c r="B69" s="179" t="s">
        <v>268</v>
      </c>
      <c r="C69" s="121">
        <v>1993</v>
      </c>
      <c r="D69" s="122"/>
      <c r="E69" s="123"/>
      <c r="F69" s="123"/>
      <c r="G69" s="123"/>
      <c r="H69" s="119"/>
      <c r="I69" s="123">
        <v>48</v>
      </c>
      <c r="J69" s="123">
        <v>735</v>
      </c>
      <c r="K69" s="119"/>
      <c r="L69" s="123"/>
      <c r="M69" s="123"/>
      <c r="N69" s="123">
        <v>330</v>
      </c>
      <c r="O69" s="123"/>
      <c r="P69" s="123"/>
      <c r="Q69" s="123"/>
      <c r="R69" s="123"/>
      <c r="S69" s="123"/>
      <c r="T69" s="123">
        <v>10605</v>
      </c>
      <c r="U69" s="123"/>
      <c r="V69" s="417"/>
      <c r="W69" s="123"/>
      <c r="X69" s="123"/>
      <c r="Y69" s="123"/>
      <c r="Z69" s="123"/>
      <c r="AA69" s="123"/>
      <c r="AB69" s="123"/>
      <c r="AC69" s="123"/>
      <c r="AD69" s="123"/>
      <c r="AE69" s="123"/>
      <c r="AF69" s="123"/>
      <c r="AG69" s="120"/>
      <c r="AH69" s="110"/>
      <c r="AI69" s="124"/>
      <c r="AJ69" s="123"/>
      <c r="AK69" s="123"/>
      <c r="AL69" s="123"/>
      <c r="AM69" s="123"/>
      <c r="AN69" s="112">
        <f>SUM(C69:AM69)</f>
        <v>13711</v>
      </c>
      <c r="AO69" s="103"/>
    </row>
    <row r="70" spans="1:41" ht="14.45" customHeight="1" x14ac:dyDescent="0.2">
      <c r="A70" s="109" t="s">
        <v>269</v>
      </c>
      <c r="B70" s="179" t="s">
        <v>270</v>
      </c>
      <c r="C70" s="121"/>
      <c r="D70" s="122"/>
      <c r="E70" s="123"/>
      <c r="F70" s="123"/>
      <c r="G70" s="123"/>
      <c r="H70" s="119"/>
      <c r="I70" s="123"/>
      <c r="J70" s="123">
        <v>73</v>
      </c>
      <c r="K70" s="119"/>
      <c r="L70" s="123"/>
      <c r="M70" s="123"/>
      <c r="N70" s="123"/>
      <c r="O70" s="123"/>
      <c r="P70" s="123"/>
      <c r="Q70" s="123"/>
      <c r="R70" s="123"/>
      <c r="S70" s="123"/>
      <c r="T70" s="123">
        <v>2958</v>
      </c>
      <c r="U70" s="123"/>
      <c r="V70" s="417"/>
      <c r="W70" s="123"/>
      <c r="X70" s="123"/>
      <c r="Y70" s="123"/>
      <c r="Z70" s="123"/>
      <c r="AA70" s="123"/>
      <c r="AB70" s="123"/>
      <c r="AC70" s="123"/>
      <c r="AD70" s="123"/>
      <c r="AE70" s="123"/>
      <c r="AF70" s="123"/>
      <c r="AG70" s="120"/>
      <c r="AH70" s="110"/>
      <c r="AI70" s="124"/>
      <c r="AJ70" s="123"/>
      <c r="AK70" s="123"/>
      <c r="AL70" s="123"/>
      <c r="AM70" s="123"/>
      <c r="AN70" s="112">
        <f>SUM(C70:AM70)</f>
        <v>3031</v>
      </c>
      <c r="AO70" s="103"/>
    </row>
    <row r="71" spans="1:41" ht="14.45" customHeight="1" x14ac:dyDescent="0.2">
      <c r="A71" s="544" t="s">
        <v>271</v>
      </c>
      <c r="B71" s="545"/>
      <c r="C71" s="146">
        <f>SUM(C68:C70)</f>
        <v>4113</v>
      </c>
      <c r="D71" s="144">
        <f t="shared" ref="D71:AM71" si="12">SUM(D68:D70)</f>
        <v>230</v>
      </c>
      <c r="E71" s="130">
        <f t="shared" si="12"/>
        <v>0</v>
      </c>
      <c r="F71" s="143">
        <f t="shared" si="12"/>
        <v>2</v>
      </c>
      <c r="G71" s="143">
        <f t="shared" si="12"/>
        <v>0</v>
      </c>
      <c r="H71" s="119">
        <f t="shared" si="12"/>
        <v>0</v>
      </c>
      <c r="I71" s="143">
        <f t="shared" si="12"/>
        <v>55</v>
      </c>
      <c r="J71" s="143">
        <f t="shared" si="12"/>
        <v>1638</v>
      </c>
      <c r="K71" s="119">
        <f t="shared" si="12"/>
        <v>0</v>
      </c>
      <c r="L71" s="143">
        <f t="shared" si="12"/>
        <v>0</v>
      </c>
      <c r="M71" s="143">
        <f t="shared" si="12"/>
        <v>0</v>
      </c>
      <c r="N71" s="143">
        <f t="shared" si="12"/>
        <v>1486</v>
      </c>
      <c r="O71" s="143">
        <f t="shared" si="12"/>
        <v>0</v>
      </c>
      <c r="P71" s="143">
        <f t="shared" si="12"/>
        <v>0</v>
      </c>
      <c r="Q71" s="143">
        <f t="shared" si="12"/>
        <v>0</v>
      </c>
      <c r="R71" s="143">
        <f t="shared" si="12"/>
        <v>0</v>
      </c>
      <c r="S71" s="143">
        <f t="shared" si="12"/>
        <v>0</v>
      </c>
      <c r="T71" s="143">
        <f t="shared" si="12"/>
        <v>58174</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806</v>
      </c>
      <c r="AK71" s="143">
        <f t="shared" si="12"/>
        <v>1340</v>
      </c>
      <c r="AL71" s="143">
        <f t="shared" si="12"/>
        <v>0</v>
      </c>
      <c r="AM71" s="143">
        <f t="shared" si="12"/>
        <v>0</v>
      </c>
      <c r="AN71" s="145">
        <f>SUM(C71:AM71)</f>
        <v>67844</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272</v>
      </c>
      <c r="B73" s="310" t="s">
        <v>273</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274</v>
      </c>
      <c r="B74" s="179" t="s">
        <v>698</v>
      </c>
      <c r="C74" s="121">
        <v>5829</v>
      </c>
      <c r="D74" s="122">
        <v>385</v>
      </c>
      <c r="E74" s="123"/>
      <c r="F74" s="123">
        <v>169</v>
      </c>
      <c r="G74" s="123"/>
      <c r="H74" s="119"/>
      <c r="I74" s="123">
        <v>189</v>
      </c>
      <c r="J74" s="123">
        <v>1165</v>
      </c>
      <c r="K74" s="120"/>
      <c r="L74" s="123"/>
      <c r="M74" s="123"/>
      <c r="N74" s="123">
        <v>108</v>
      </c>
      <c r="O74" s="123"/>
      <c r="P74" s="123">
        <v>3</v>
      </c>
      <c r="Q74" s="123">
        <v>42</v>
      </c>
      <c r="R74" s="123"/>
      <c r="S74" s="123"/>
      <c r="T74" s="123">
        <v>2620</v>
      </c>
      <c r="U74" s="123"/>
      <c r="V74" s="417"/>
      <c r="W74" s="123"/>
      <c r="X74" s="123">
        <v>700</v>
      </c>
      <c r="Y74" s="123"/>
      <c r="Z74" s="123"/>
      <c r="AA74" s="123"/>
      <c r="AB74" s="123"/>
      <c r="AC74" s="123"/>
      <c r="AD74" s="123">
        <v>1206</v>
      </c>
      <c r="AE74" s="123"/>
      <c r="AF74" s="123"/>
      <c r="AG74" s="120"/>
      <c r="AH74" s="110"/>
      <c r="AI74" s="124"/>
      <c r="AJ74" s="123"/>
      <c r="AK74" s="123"/>
      <c r="AL74" s="123"/>
      <c r="AM74" s="123"/>
      <c r="AN74" s="112">
        <f>SUM(C74:AM74)</f>
        <v>12416</v>
      </c>
      <c r="AO74" s="103"/>
    </row>
    <row r="75" spans="1:41" ht="14.45" customHeight="1" x14ac:dyDescent="0.2">
      <c r="A75" s="109" t="s">
        <v>275</v>
      </c>
      <c r="B75" s="179" t="s">
        <v>276</v>
      </c>
      <c r="C75" s="121">
        <v>300</v>
      </c>
      <c r="D75" s="122"/>
      <c r="E75" s="123"/>
      <c r="F75" s="123">
        <v>36</v>
      </c>
      <c r="G75" s="123"/>
      <c r="H75" s="119"/>
      <c r="I75" s="123">
        <v>25</v>
      </c>
      <c r="J75" s="123">
        <v>692</v>
      </c>
      <c r="K75" s="120"/>
      <c r="L75" s="124"/>
      <c r="M75" s="123">
        <v>91</v>
      </c>
      <c r="N75" s="123">
        <v>1992</v>
      </c>
      <c r="O75" s="123"/>
      <c r="P75" s="123"/>
      <c r="Q75" s="123"/>
      <c r="R75" s="123">
        <v>1</v>
      </c>
      <c r="S75" s="123"/>
      <c r="T75" s="123">
        <v>106</v>
      </c>
      <c r="U75" s="123"/>
      <c r="V75" s="417"/>
      <c r="W75" s="123"/>
      <c r="X75" s="123"/>
      <c r="Y75" s="123"/>
      <c r="Z75" s="123"/>
      <c r="AA75" s="123"/>
      <c r="AB75" s="123"/>
      <c r="AC75" s="123"/>
      <c r="AD75" s="123"/>
      <c r="AE75" s="123"/>
      <c r="AF75" s="123"/>
      <c r="AG75" s="120"/>
      <c r="AH75" s="110"/>
      <c r="AI75" s="124"/>
      <c r="AJ75" s="123"/>
      <c r="AK75" s="123"/>
      <c r="AL75" s="123"/>
      <c r="AM75" s="123"/>
      <c r="AN75" s="112">
        <f>SUM(C75:AM75)</f>
        <v>3243</v>
      </c>
      <c r="AO75" s="103"/>
    </row>
    <row r="76" spans="1:41" ht="14.45" customHeight="1" x14ac:dyDescent="0.2">
      <c r="A76" s="109" t="s">
        <v>277</v>
      </c>
      <c r="B76" s="179" t="s">
        <v>278</v>
      </c>
      <c r="C76" s="121">
        <v>2023</v>
      </c>
      <c r="D76" s="122"/>
      <c r="E76" s="123"/>
      <c r="F76" s="123"/>
      <c r="G76" s="123"/>
      <c r="H76" s="119"/>
      <c r="I76" s="123">
        <v>31</v>
      </c>
      <c r="J76" s="123">
        <v>104</v>
      </c>
      <c r="K76" s="120"/>
      <c r="L76" s="124"/>
      <c r="M76" s="123"/>
      <c r="N76" s="123">
        <v>2144</v>
      </c>
      <c r="O76" s="123"/>
      <c r="P76" s="123"/>
      <c r="Q76" s="123"/>
      <c r="R76" s="123"/>
      <c r="S76" s="123"/>
      <c r="T76" s="123">
        <v>100</v>
      </c>
      <c r="U76" s="123"/>
      <c r="V76" s="417"/>
      <c r="W76" s="123"/>
      <c r="X76" s="123">
        <v>1444</v>
      </c>
      <c r="Y76" s="123"/>
      <c r="Z76" s="123"/>
      <c r="AA76" s="123"/>
      <c r="AB76" s="123"/>
      <c r="AC76" s="123"/>
      <c r="AD76" s="123"/>
      <c r="AE76" s="123"/>
      <c r="AF76" s="123"/>
      <c r="AG76" s="120"/>
      <c r="AH76" s="110"/>
      <c r="AI76" s="124"/>
      <c r="AJ76" s="123"/>
      <c r="AK76" s="123"/>
      <c r="AL76" s="123"/>
      <c r="AM76" s="123"/>
      <c r="AN76" s="112">
        <f>SUM(C76:AM76)</f>
        <v>5846</v>
      </c>
      <c r="AO76" s="103"/>
    </row>
    <row r="77" spans="1:41" ht="14.45" customHeight="1" x14ac:dyDescent="0.2">
      <c r="A77" s="109" t="s">
        <v>279</v>
      </c>
      <c r="B77" s="179" t="s">
        <v>280</v>
      </c>
      <c r="C77" s="121"/>
      <c r="D77" s="122"/>
      <c r="E77" s="123">
        <v>23</v>
      </c>
      <c r="F77" s="123">
        <v>-253</v>
      </c>
      <c r="G77" s="123"/>
      <c r="H77" s="119"/>
      <c r="I77" s="123">
        <v>111</v>
      </c>
      <c r="J77" s="123">
        <v>213</v>
      </c>
      <c r="K77" s="120"/>
      <c r="L77" s="123"/>
      <c r="M77" s="123"/>
      <c r="N77" s="123">
        <v>723</v>
      </c>
      <c r="O77" s="123"/>
      <c r="P77" s="123"/>
      <c r="Q77" s="123"/>
      <c r="R77" s="123"/>
      <c r="S77" s="123"/>
      <c r="T77" s="123"/>
      <c r="U77" s="123"/>
      <c r="V77" s="417"/>
      <c r="W77" s="123"/>
      <c r="X77" s="123"/>
      <c r="Y77" s="123"/>
      <c r="Z77" s="123"/>
      <c r="AA77" s="123"/>
      <c r="AB77" s="123"/>
      <c r="AC77" s="123"/>
      <c r="AD77" s="123"/>
      <c r="AE77" s="123"/>
      <c r="AF77" s="123"/>
      <c r="AG77" s="120"/>
      <c r="AH77" s="110"/>
      <c r="AI77" s="124"/>
      <c r="AJ77" s="123">
        <v>1029</v>
      </c>
      <c r="AK77" s="123"/>
      <c r="AL77" s="123"/>
      <c r="AM77" s="123"/>
      <c r="AN77" s="112">
        <f>SUM(C77:AM77)</f>
        <v>1846</v>
      </c>
      <c r="AO77" s="103"/>
    </row>
    <row r="78" spans="1:41" ht="14.45" customHeight="1" x14ac:dyDescent="0.2">
      <c r="A78" s="544" t="s">
        <v>281</v>
      </c>
      <c r="B78" s="545"/>
      <c r="C78" s="146">
        <f>SUM(C74:C77)</f>
        <v>8152</v>
      </c>
      <c r="D78" s="144">
        <f t="shared" ref="D78:AM78" si="13">SUM(D74:D77)</f>
        <v>385</v>
      </c>
      <c r="E78" s="130">
        <f t="shared" si="13"/>
        <v>23</v>
      </c>
      <c r="F78" s="143">
        <f t="shared" si="13"/>
        <v>-48</v>
      </c>
      <c r="G78" s="143">
        <f t="shared" si="13"/>
        <v>0</v>
      </c>
      <c r="H78" s="119">
        <f t="shared" si="13"/>
        <v>0</v>
      </c>
      <c r="I78" s="143">
        <f t="shared" si="13"/>
        <v>356</v>
      </c>
      <c r="J78" s="143">
        <f t="shared" si="13"/>
        <v>2174</v>
      </c>
      <c r="K78" s="120">
        <f t="shared" si="13"/>
        <v>0</v>
      </c>
      <c r="L78" s="130">
        <f t="shared" si="13"/>
        <v>0</v>
      </c>
      <c r="M78" s="143">
        <f t="shared" si="13"/>
        <v>91</v>
      </c>
      <c r="N78" s="143">
        <f t="shared" si="13"/>
        <v>4967</v>
      </c>
      <c r="O78" s="143">
        <f t="shared" si="13"/>
        <v>0</v>
      </c>
      <c r="P78" s="143">
        <f t="shared" si="13"/>
        <v>3</v>
      </c>
      <c r="Q78" s="143">
        <f t="shared" si="13"/>
        <v>42</v>
      </c>
      <c r="R78" s="143">
        <f t="shared" si="13"/>
        <v>1</v>
      </c>
      <c r="S78" s="143">
        <f t="shared" si="13"/>
        <v>0</v>
      </c>
      <c r="T78" s="143">
        <f t="shared" si="13"/>
        <v>2826</v>
      </c>
      <c r="U78" s="130">
        <f t="shared" si="13"/>
        <v>0</v>
      </c>
      <c r="V78" s="130">
        <f t="shared" si="13"/>
        <v>0</v>
      </c>
      <c r="W78" s="130">
        <f t="shared" si="13"/>
        <v>0</v>
      </c>
      <c r="X78" s="143">
        <f t="shared" si="13"/>
        <v>2144</v>
      </c>
      <c r="Y78" s="143">
        <f t="shared" si="13"/>
        <v>0</v>
      </c>
      <c r="Z78" s="143">
        <f t="shared" si="13"/>
        <v>0</v>
      </c>
      <c r="AA78" s="143">
        <f t="shared" si="13"/>
        <v>0</v>
      </c>
      <c r="AB78" s="130">
        <f t="shared" si="13"/>
        <v>0</v>
      </c>
      <c r="AC78" s="130">
        <f t="shared" si="13"/>
        <v>0</v>
      </c>
      <c r="AD78" s="130">
        <f t="shared" si="13"/>
        <v>1206</v>
      </c>
      <c r="AE78" s="130">
        <f t="shared" si="13"/>
        <v>0</v>
      </c>
      <c r="AF78" s="130">
        <f t="shared" si="13"/>
        <v>0</v>
      </c>
      <c r="AG78" s="120">
        <f t="shared" si="13"/>
        <v>0</v>
      </c>
      <c r="AH78" s="110">
        <f t="shared" si="13"/>
        <v>0</v>
      </c>
      <c r="AI78" s="134">
        <f t="shared" si="13"/>
        <v>0</v>
      </c>
      <c r="AJ78" s="143">
        <f t="shared" si="13"/>
        <v>1029</v>
      </c>
      <c r="AK78" s="143">
        <f t="shared" si="13"/>
        <v>0</v>
      </c>
      <c r="AL78" s="143">
        <f t="shared" si="13"/>
        <v>0</v>
      </c>
      <c r="AM78" s="143">
        <f t="shared" si="13"/>
        <v>0</v>
      </c>
      <c r="AN78" s="145">
        <f>SUM(C78:AM78)</f>
        <v>23351</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2" t="s">
        <v>282</v>
      </c>
      <c r="B80" s="553"/>
      <c r="C80" s="147">
        <f>SUM(C14,C24,C31,C40,C50,C57,C65,C71,C78)</f>
        <v>109215</v>
      </c>
      <c r="D80" s="147">
        <f t="shared" ref="D80:AM80" si="14">SUM(D14,D24,D31,D40,D50,D57,D65,D71,D78)</f>
        <v>925</v>
      </c>
      <c r="E80" s="147">
        <f t="shared" si="14"/>
        <v>1077</v>
      </c>
      <c r="F80" s="147">
        <f t="shared" si="14"/>
        <v>4507</v>
      </c>
      <c r="G80" s="147">
        <f t="shared" si="14"/>
        <v>57</v>
      </c>
      <c r="H80" s="147">
        <f t="shared" si="14"/>
        <v>0</v>
      </c>
      <c r="I80" s="147">
        <f t="shared" si="14"/>
        <v>6600</v>
      </c>
      <c r="J80" s="147">
        <f t="shared" si="14"/>
        <v>88843</v>
      </c>
      <c r="K80" s="147">
        <f t="shared" si="14"/>
        <v>0</v>
      </c>
      <c r="L80" s="147">
        <f t="shared" si="14"/>
        <v>146911</v>
      </c>
      <c r="M80" s="147">
        <f t="shared" si="14"/>
        <v>579</v>
      </c>
      <c r="N80" s="147">
        <f t="shared" si="14"/>
        <v>16380</v>
      </c>
      <c r="O80" s="147">
        <f t="shared" si="14"/>
        <v>333</v>
      </c>
      <c r="P80" s="147">
        <f t="shared" si="14"/>
        <v>18</v>
      </c>
      <c r="Q80" s="147">
        <f t="shared" si="14"/>
        <v>-1109</v>
      </c>
      <c r="R80" s="147">
        <f t="shared" si="14"/>
        <v>6758</v>
      </c>
      <c r="S80" s="147">
        <f t="shared" si="14"/>
        <v>0</v>
      </c>
      <c r="T80" s="147">
        <f t="shared" si="14"/>
        <v>155678</v>
      </c>
      <c r="U80" s="147">
        <f t="shared" si="14"/>
        <v>0</v>
      </c>
      <c r="V80" s="147">
        <f t="shared" si="14"/>
        <v>0</v>
      </c>
      <c r="W80" s="147">
        <f t="shared" si="14"/>
        <v>0</v>
      </c>
      <c r="X80" s="147">
        <f t="shared" si="14"/>
        <v>4169</v>
      </c>
      <c r="Y80" s="147">
        <f t="shared" si="14"/>
        <v>0</v>
      </c>
      <c r="Z80" s="147">
        <f t="shared" si="14"/>
        <v>0</v>
      </c>
      <c r="AA80" s="147">
        <f t="shared" si="14"/>
        <v>0</v>
      </c>
      <c r="AB80" s="147">
        <f t="shared" si="14"/>
        <v>0</v>
      </c>
      <c r="AC80" s="147">
        <f t="shared" si="14"/>
        <v>0</v>
      </c>
      <c r="AD80" s="147">
        <f t="shared" si="14"/>
        <v>14543</v>
      </c>
      <c r="AE80" s="147">
        <f t="shared" si="14"/>
        <v>0</v>
      </c>
      <c r="AF80" s="147">
        <f t="shared" si="14"/>
        <v>0</v>
      </c>
      <c r="AG80" s="147">
        <f t="shared" si="14"/>
        <v>225</v>
      </c>
      <c r="AH80" s="147">
        <f t="shared" si="14"/>
        <v>0</v>
      </c>
      <c r="AI80" s="147">
        <f t="shared" si="14"/>
        <v>276058</v>
      </c>
      <c r="AJ80" s="147">
        <f t="shared" si="14"/>
        <v>34531</v>
      </c>
      <c r="AK80" s="147">
        <f t="shared" si="14"/>
        <v>25280</v>
      </c>
      <c r="AL80" s="147">
        <f t="shared" si="14"/>
        <v>0</v>
      </c>
      <c r="AM80" s="147">
        <f t="shared" si="14"/>
        <v>30289</v>
      </c>
      <c r="AN80" s="148">
        <f>SUM(C80:AM80)</f>
        <v>921867</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4" t="s">
        <v>283</v>
      </c>
      <c r="B82" s="555"/>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284</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285</v>
      </c>
      <c r="B85" s="250" t="s">
        <v>286</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287</v>
      </c>
      <c r="B86" s="250" t="s">
        <v>288</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289</v>
      </c>
      <c r="B87" s="250" t="s">
        <v>290</v>
      </c>
      <c r="C87" s="156"/>
      <c r="D87" s="110"/>
      <c r="E87" s="114"/>
      <c r="F87" s="123">
        <v>478</v>
      </c>
      <c r="G87" s="157"/>
      <c r="H87" s="110"/>
      <c r="I87" s="157"/>
      <c r="J87" s="157">
        <v>16078</v>
      </c>
      <c r="K87" s="110"/>
      <c r="L87" s="110"/>
      <c r="M87" s="110"/>
      <c r="N87" s="110">
        <v>424</v>
      </c>
      <c r="O87" s="110"/>
      <c r="P87" s="110"/>
      <c r="Q87" s="110"/>
      <c r="R87" s="110"/>
      <c r="S87" s="110"/>
      <c r="T87" s="110"/>
      <c r="U87" s="110"/>
      <c r="V87" s="124"/>
      <c r="W87" s="123"/>
      <c r="X87" s="123">
        <v>581</v>
      </c>
      <c r="Y87" s="123"/>
      <c r="Z87" s="123"/>
      <c r="AA87" s="123"/>
      <c r="AB87" s="123"/>
      <c r="AC87" s="123"/>
      <c r="AD87" s="123"/>
      <c r="AE87" s="123"/>
      <c r="AF87" s="123"/>
      <c r="AG87" s="120"/>
      <c r="AH87" s="110"/>
      <c r="AI87" s="110"/>
      <c r="AJ87" s="110"/>
      <c r="AK87" s="110"/>
      <c r="AL87" s="123"/>
      <c r="AM87" s="123"/>
      <c r="AN87" s="112">
        <f t="shared" si="15"/>
        <v>17561</v>
      </c>
      <c r="AO87" s="103"/>
    </row>
    <row r="88" spans="1:41" ht="14.45" customHeight="1" x14ac:dyDescent="0.2">
      <c r="A88" s="153" t="s">
        <v>291</v>
      </c>
      <c r="B88" s="250" t="s">
        <v>292</v>
      </c>
      <c r="C88" s="123"/>
      <c r="D88" s="119"/>
      <c r="E88" s="123">
        <v>39</v>
      </c>
      <c r="F88" s="123">
        <v>4</v>
      </c>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43</v>
      </c>
      <c r="AO88" s="103"/>
    </row>
    <row r="89" spans="1:41" ht="14.45" customHeight="1" x14ac:dyDescent="0.2">
      <c r="A89" s="153" t="s">
        <v>293</v>
      </c>
      <c r="B89" s="250" t="s">
        <v>294</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295</v>
      </c>
      <c r="B90" s="250" t="s">
        <v>296</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297</v>
      </c>
      <c r="B91" s="250" t="s">
        <v>298</v>
      </c>
      <c r="C91" s="123"/>
      <c r="D91" s="119"/>
      <c r="E91" s="123">
        <v>2676</v>
      </c>
      <c r="F91" s="123">
        <v>8992</v>
      </c>
      <c r="G91" s="123"/>
      <c r="H91" s="119"/>
      <c r="I91" s="123">
        <v>257</v>
      </c>
      <c r="J91" s="123">
        <v>7673</v>
      </c>
      <c r="K91" s="120"/>
      <c r="L91" s="110"/>
      <c r="M91" s="110"/>
      <c r="N91" s="110">
        <v>25</v>
      </c>
      <c r="O91" s="110"/>
      <c r="P91" s="110"/>
      <c r="Q91" s="110"/>
      <c r="R91" s="110"/>
      <c r="S91" s="110"/>
      <c r="T91" s="110">
        <v>25</v>
      </c>
      <c r="U91" s="110"/>
      <c r="V91" s="124"/>
      <c r="W91" s="123"/>
      <c r="X91" s="123">
        <v>348</v>
      </c>
      <c r="Y91" s="123"/>
      <c r="Z91" s="123"/>
      <c r="AA91" s="123"/>
      <c r="AB91" s="123"/>
      <c r="AC91" s="123"/>
      <c r="AD91" s="123"/>
      <c r="AE91" s="123"/>
      <c r="AF91" s="123"/>
      <c r="AG91" s="120"/>
      <c r="AH91" s="110"/>
      <c r="AI91" s="110"/>
      <c r="AJ91" s="110"/>
      <c r="AK91" s="110"/>
      <c r="AL91" s="123"/>
      <c r="AM91" s="123"/>
      <c r="AN91" s="112">
        <f t="shared" si="15"/>
        <v>19996</v>
      </c>
      <c r="AO91" s="103"/>
    </row>
    <row r="92" spans="1:41" ht="14.45" customHeight="1" x14ac:dyDescent="0.2">
      <c r="A92" s="153" t="s">
        <v>299</v>
      </c>
      <c r="B92" s="250" t="s">
        <v>300</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301</v>
      </c>
      <c r="B93" s="250" t="s">
        <v>302</v>
      </c>
      <c r="C93" s="123"/>
      <c r="D93" s="119"/>
      <c r="E93" s="123"/>
      <c r="F93" s="123">
        <v>2434</v>
      </c>
      <c r="G93" s="123"/>
      <c r="H93" s="119"/>
      <c r="I93" s="123"/>
      <c r="J93" s="123">
        <v>528</v>
      </c>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2962</v>
      </c>
      <c r="AO93" s="103"/>
    </row>
    <row r="94" spans="1:41" ht="14.45" customHeight="1" x14ac:dyDescent="0.2">
      <c r="A94" s="153" t="s">
        <v>303</v>
      </c>
      <c r="B94" s="250" t="s">
        <v>304</v>
      </c>
      <c r="C94" s="123"/>
      <c r="D94" s="119"/>
      <c r="E94" s="123"/>
      <c r="F94" s="123">
        <v>511</v>
      </c>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511</v>
      </c>
      <c r="AO94" s="103"/>
    </row>
    <row r="95" spans="1:41" ht="14.45" customHeight="1" x14ac:dyDescent="0.2">
      <c r="A95" s="153" t="s">
        <v>305</v>
      </c>
      <c r="B95" s="250" t="s">
        <v>306</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v>-28254</v>
      </c>
      <c r="AI95" s="120"/>
      <c r="AJ95" s="391"/>
      <c r="AK95" s="110"/>
      <c r="AL95" s="124"/>
      <c r="AM95" s="123"/>
      <c r="AN95" s="112">
        <f t="shared" si="15"/>
        <v>-28254</v>
      </c>
      <c r="AO95" s="103"/>
    </row>
    <row r="96" spans="1:41" ht="14.45" customHeight="1" x14ac:dyDescent="0.2">
      <c r="A96" s="153" t="s">
        <v>307</v>
      </c>
      <c r="B96" s="250" t="s">
        <v>308</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5" customHeight="1" x14ac:dyDescent="0.2">
      <c r="A97" s="153" t="s">
        <v>309</v>
      </c>
      <c r="B97" s="250" t="s">
        <v>310</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5" customHeight="1" x14ac:dyDescent="0.2">
      <c r="A98" s="153" t="s">
        <v>311</v>
      </c>
      <c r="B98" s="250" t="s">
        <v>312</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5" customHeight="1" x14ac:dyDescent="0.2">
      <c r="A99" s="153" t="s">
        <v>313</v>
      </c>
      <c r="B99" s="250" t="s">
        <v>314</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v>8000</v>
      </c>
      <c r="AI99" s="120"/>
      <c r="AJ99" s="391"/>
      <c r="AK99" s="110"/>
      <c r="AL99" s="124"/>
      <c r="AM99" s="123"/>
      <c r="AN99" s="112">
        <f t="shared" si="15"/>
        <v>8000</v>
      </c>
      <c r="AO99" s="103"/>
    </row>
    <row r="100" spans="1:41" ht="14.45" customHeight="1" x14ac:dyDescent="0.2">
      <c r="A100" s="153" t="s">
        <v>315</v>
      </c>
      <c r="B100" s="250" t="s">
        <v>316</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v>-1250</v>
      </c>
      <c r="AI100" s="120"/>
      <c r="AJ100" s="391"/>
      <c r="AK100" s="110"/>
      <c r="AL100" s="124"/>
      <c r="AM100" s="123"/>
      <c r="AN100" s="112">
        <f t="shared" si="15"/>
        <v>-1250</v>
      </c>
      <c r="AO100" s="103"/>
    </row>
    <row r="101" spans="1:41" ht="14.45" customHeight="1" x14ac:dyDescent="0.2">
      <c r="A101" s="160" t="s">
        <v>317</v>
      </c>
      <c r="B101" s="250" t="s">
        <v>318</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v>5648</v>
      </c>
      <c r="AI101" s="120"/>
      <c r="AJ101" s="391"/>
      <c r="AK101" s="110"/>
      <c r="AL101" s="124"/>
      <c r="AM101" s="123"/>
      <c r="AN101" s="112">
        <f t="shared" si="15"/>
        <v>5648</v>
      </c>
      <c r="AO101" s="103"/>
    </row>
    <row r="102" spans="1:41" ht="14.45" customHeight="1" x14ac:dyDescent="0.2">
      <c r="A102" s="160" t="s">
        <v>736</v>
      </c>
      <c r="B102" s="250" t="s">
        <v>769</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v>96000</v>
      </c>
      <c r="AI102" s="120"/>
      <c r="AJ102" s="391"/>
      <c r="AK102" s="110"/>
      <c r="AL102" s="124"/>
      <c r="AM102" s="123"/>
      <c r="AN102" s="112">
        <f t="shared" si="15"/>
        <v>96000</v>
      </c>
      <c r="AO102" s="103"/>
    </row>
    <row r="103" spans="1:41" ht="14.45" customHeight="1" x14ac:dyDescent="0.2">
      <c r="A103" s="160" t="s">
        <v>737</v>
      </c>
      <c r="B103" s="250" t="s">
        <v>770</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5" customHeight="1" x14ac:dyDescent="0.2">
      <c r="A104" s="160" t="s">
        <v>738</v>
      </c>
      <c r="B104" s="250" t="s">
        <v>771</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5" customHeight="1" x14ac:dyDescent="0.2">
      <c r="A105" s="160" t="s">
        <v>319</v>
      </c>
      <c r="B105" s="250" t="s">
        <v>320</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v>100000</v>
      </c>
      <c r="AI105" s="120"/>
      <c r="AJ105" s="392"/>
      <c r="AK105" s="110"/>
      <c r="AL105" s="124"/>
      <c r="AM105" s="123"/>
      <c r="AN105" s="112">
        <f t="shared" si="15"/>
        <v>100000</v>
      </c>
      <c r="AO105" s="103"/>
    </row>
    <row r="106" spans="1:41" ht="14.45" customHeight="1" x14ac:dyDescent="0.2">
      <c r="A106" s="160" t="s">
        <v>321</v>
      </c>
      <c r="B106" s="250" t="s">
        <v>322</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5" customHeight="1" x14ac:dyDescent="0.2">
      <c r="A107" s="160" t="s">
        <v>323</v>
      </c>
      <c r="B107" s="250" t="s">
        <v>324</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75" x14ac:dyDescent="0.2">
      <c r="A108" s="556" t="s">
        <v>325</v>
      </c>
      <c r="B108" s="557"/>
      <c r="C108" s="130">
        <f t="shared" ref="C108:V108" si="16">SUM(C85:C107)</f>
        <v>0</v>
      </c>
      <c r="D108" s="132">
        <f t="shared" si="16"/>
        <v>0</v>
      </c>
      <c r="E108" s="130">
        <f t="shared" si="16"/>
        <v>2715</v>
      </c>
      <c r="F108" s="130">
        <f t="shared" si="16"/>
        <v>12419</v>
      </c>
      <c r="G108" s="130">
        <f t="shared" si="16"/>
        <v>0</v>
      </c>
      <c r="H108" s="132">
        <f t="shared" si="16"/>
        <v>0</v>
      </c>
      <c r="I108" s="130">
        <f t="shared" si="16"/>
        <v>257</v>
      </c>
      <c r="J108" s="130">
        <f t="shared" si="16"/>
        <v>24279</v>
      </c>
      <c r="K108" s="133">
        <f t="shared" si="16"/>
        <v>0</v>
      </c>
      <c r="L108" s="161">
        <f t="shared" si="16"/>
        <v>0</v>
      </c>
      <c r="M108" s="161">
        <f t="shared" si="16"/>
        <v>0</v>
      </c>
      <c r="N108" s="161">
        <f t="shared" si="16"/>
        <v>449</v>
      </c>
      <c r="O108" s="161">
        <f t="shared" si="16"/>
        <v>0</v>
      </c>
      <c r="P108" s="161">
        <f t="shared" si="16"/>
        <v>0</v>
      </c>
      <c r="Q108" s="161">
        <f t="shared" si="16"/>
        <v>0</v>
      </c>
      <c r="R108" s="161">
        <f t="shared" si="16"/>
        <v>0</v>
      </c>
      <c r="S108" s="161">
        <f t="shared" si="16"/>
        <v>0</v>
      </c>
      <c r="T108" s="161">
        <f t="shared" si="16"/>
        <v>25</v>
      </c>
      <c r="U108" s="161">
        <f t="shared" si="16"/>
        <v>0</v>
      </c>
      <c r="V108" s="161">
        <f t="shared" si="16"/>
        <v>0</v>
      </c>
      <c r="W108" s="130">
        <f t="shared" ref="W108:AE108" si="17">SUM(W85:W107)</f>
        <v>0</v>
      </c>
      <c r="X108" s="130">
        <f t="shared" si="17"/>
        <v>929</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180144</v>
      </c>
      <c r="AI108" s="133">
        <f t="shared" si="18"/>
        <v>0</v>
      </c>
      <c r="AJ108" s="393">
        <f t="shared" si="18"/>
        <v>0</v>
      </c>
      <c r="AK108" s="161">
        <f t="shared" si="18"/>
        <v>0</v>
      </c>
      <c r="AL108" s="130">
        <f t="shared" si="18"/>
        <v>0</v>
      </c>
      <c r="AM108" s="130">
        <f t="shared" si="18"/>
        <v>0</v>
      </c>
      <c r="AN108" s="112">
        <f t="shared" si="15"/>
        <v>221217</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48" t="s">
        <v>326</v>
      </c>
      <c r="B110" s="549"/>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327</v>
      </c>
      <c r="B111" s="250" t="s">
        <v>328</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5" customHeight="1" x14ac:dyDescent="0.2">
      <c r="A112" s="153" t="s">
        <v>329</v>
      </c>
      <c r="B112" s="250" t="s">
        <v>330</v>
      </c>
      <c r="C112" s="159"/>
      <c r="D112" s="123">
        <v>9</v>
      </c>
      <c r="E112" s="123">
        <v>22014</v>
      </c>
      <c r="F112" s="123">
        <v>56</v>
      </c>
      <c r="G112" s="123">
        <v>-8</v>
      </c>
      <c r="H112" s="110"/>
      <c r="I112" s="123"/>
      <c r="J112" s="123">
        <v>1203</v>
      </c>
      <c r="K112" s="110"/>
      <c r="L112" s="110"/>
      <c r="M112" s="110">
        <v>1</v>
      </c>
      <c r="N112" s="110">
        <v>-10</v>
      </c>
      <c r="O112" s="110"/>
      <c r="P112" s="110"/>
      <c r="Q112" s="110"/>
      <c r="R112" s="110"/>
      <c r="S112" s="110"/>
      <c r="T112" s="110">
        <v>215</v>
      </c>
      <c r="U112" s="110"/>
      <c r="V112" s="110"/>
      <c r="W112" s="123">
        <v>804</v>
      </c>
      <c r="X112" s="123"/>
      <c r="Y112" s="123"/>
      <c r="Z112" s="123"/>
      <c r="AA112" s="123"/>
      <c r="AB112" s="123">
        <v>23</v>
      </c>
      <c r="AC112" s="123"/>
      <c r="AD112" s="123"/>
      <c r="AE112" s="123"/>
      <c r="AF112" s="123"/>
      <c r="AG112" s="110"/>
      <c r="AH112" s="110"/>
      <c r="AI112" s="110"/>
      <c r="AJ112" s="391"/>
      <c r="AK112" s="110"/>
      <c r="AL112" s="123"/>
      <c r="AM112" s="123">
        <v>3101</v>
      </c>
      <c r="AN112" s="112">
        <f t="shared" si="19"/>
        <v>27408</v>
      </c>
      <c r="AO112" s="103"/>
    </row>
    <row r="113" spans="1:41" ht="14.45" customHeight="1" x14ac:dyDescent="0.2">
      <c r="A113" s="153" t="s">
        <v>331</v>
      </c>
      <c r="B113" s="250" t="s">
        <v>332</v>
      </c>
      <c r="C113" s="159"/>
      <c r="D113" s="123"/>
      <c r="E113" s="123"/>
      <c r="F113" s="123">
        <v>-2</v>
      </c>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v>12829</v>
      </c>
      <c r="AN113" s="112">
        <f t="shared" si="19"/>
        <v>12827</v>
      </c>
      <c r="AO113" s="103"/>
    </row>
    <row r="114" spans="1:41" ht="14.45" customHeight="1" x14ac:dyDescent="0.2">
      <c r="A114" s="153" t="s">
        <v>333</v>
      </c>
      <c r="B114" s="250" t="s">
        <v>334</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5" customHeight="1" x14ac:dyDescent="0.2">
      <c r="A115" s="153" t="s">
        <v>743</v>
      </c>
      <c r="B115" s="250" t="s">
        <v>772</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v>606</v>
      </c>
      <c r="AI115" s="120"/>
      <c r="AJ115" s="420"/>
      <c r="AK115" s="110"/>
      <c r="AL115" s="124"/>
      <c r="AM115" s="123"/>
      <c r="AN115" s="112">
        <f t="shared" si="19"/>
        <v>606</v>
      </c>
      <c r="AO115" s="103"/>
    </row>
    <row r="116" spans="1:41" ht="14.45" customHeight="1" x14ac:dyDescent="0.2">
      <c r="A116" s="153" t="s">
        <v>744</v>
      </c>
      <c r="B116" s="250" t="s">
        <v>773</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5" customHeight="1" x14ac:dyDescent="0.2">
      <c r="A117" s="153" t="s">
        <v>745</v>
      </c>
      <c r="B117" s="250" t="s">
        <v>774</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v>6031</v>
      </c>
      <c r="AI117" s="120"/>
      <c r="AJ117" s="420"/>
      <c r="AK117" s="110"/>
      <c r="AL117" s="124"/>
      <c r="AM117" s="123"/>
      <c r="AN117" s="112">
        <f t="shared" si="19"/>
        <v>6031</v>
      </c>
      <c r="AO117" s="103"/>
    </row>
    <row r="118" spans="1:41" ht="14.45" customHeight="1" x14ac:dyDescent="0.2">
      <c r="A118" s="160" t="s">
        <v>335</v>
      </c>
      <c r="B118" s="250" t="s">
        <v>336</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5" customHeight="1" x14ac:dyDescent="0.2">
      <c r="A119" s="160" t="s">
        <v>749</v>
      </c>
      <c r="B119" s="250" t="s">
        <v>775</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5" customHeight="1" x14ac:dyDescent="0.2">
      <c r="A120" s="160" t="s">
        <v>750</v>
      </c>
      <c r="B120" s="250" t="s">
        <v>776</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5" customHeight="1" x14ac:dyDescent="0.2">
      <c r="A121" s="160" t="s">
        <v>751</v>
      </c>
      <c r="B121" s="250" t="s">
        <v>777</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5" customHeight="1" x14ac:dyDescent="0.2">
      <c r="A122" s="160" t="s">
        <v>337</v>
      </c>
      <c r="B122" s="250" t="s">
        <v>338</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v>-129706</v>
      </c>
      <c r="AI122" s="120"/>
      <c r="AJ122" s="392"/>
      <c r="AK122" s="110"/>
      <c r="AL122" s="124"/>
      <c r="AM122" s="123"/>
      <c r="AN122" s="112">
        <f t="shared" si="19"/>
        <v>-129706</v>
      </c>
      <c r="AO122" s="103"/>
    </row>
    <row r="123" spans="1:41" ht="14.45" customHeight="1" x14ac:dyDescent="0.2">
      <c r="A123" s="160" t="s">
        <v>339</v>
      </c>
      <c r="B123" s="250" t="s">
        <v>340</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v>308</v>
      </c>
      <c r="AI123" s="120"/>
      <c r="AJ123" s="391"/>
      <c r="AK123" s="110"/>
      <c r="AL123" s="124"/>
      <c r="AM123" s="123"/>
      <c r="AN123" s="112">
        <f t="shared" si="19"/>
        <v>308</v>
      </c>
      <c r="AO123" s="103"/>
    </row>
    <row r="124" spans="1:41" ht="14.45" customHeight="1" x14ac:dyDescent="0.2">
      <c r="A124" s="153" t="s">
        <v>341</v>
      </c>
      <c r="B124" s="250" t="s">
        <v>342</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v>219</v>
      </c>
      <c r="AI124" s="120"/>
      <c r="AJ124" s="391"/>
      <c r="AK124" s="110"/>
      <c r="AL124" s="124"/>
      <c r="AM124" s="123"/>
      <c r="AN124" s="112">
        <f t="shared" si="19"/>
        <v>219</v>
      </c>
      <c r="AO124" s="103"/>
    </row>
    <row r="125" spans="1:41" ht="14.45" customHeight="1" x14ac:dyDescent="0.2">
      <c r="A125" s="160" t="s">
        <v>343</v>
      </c>
      <c r="B125" s="250" t="s">
        <v>344</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345</v>
      </c>
      <c r="B126" s="250" t="s">
        <v>346</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347</v>
      </c>
      <c r="B127" s="250" t="s">
        <v>348</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349</v>
      </c>
      <c r="B128" s="250" t="s">
        <v>350</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c r="AI128" s="120"/>
      <c r="AJ128" s="110"/>
      <c r="AK128" s="110"/>
      <c r="AL128" s="124"/>
      <c r="AM128" s="123"/>
      <c r="AN128" s="112">
        <f t="shared" si="19"/>
        <v>0</v>
      </c>
      <c r="AO128" s="103"/>
    </row>
    <row r="129" spans="1:41" ht="14.45" customHeight="1" x14ac:dyDescent="0.2">
      <c r="A129" s="162" t="s">
        <v>351</v>
      </c>
      <c r="B129" s="250" t="s">
        <v>352</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v>213</v>
      </c>
      <c r="AI129" s="120"/>
      <c r="AJ129" s="110"/>
      <c r="AK129" s="110"/>
      <c r="AL129" s="124"/>
      <c r="AM129" s="123"/>
      <c r="AN129" s="112">
        <f t="shared" si="19"/>
        <v>213</v>
      </c>
      <c r="AO129" s="103"/>
    </row>
    <row r="130" spans="1:41" ht="14.45" customHeight="1" x14ac:dyDescent="0.2">
      <c r="A130" s="162" t="s">
        <v>353</v>
      </c>
      <c r="B130" s="250" t="s">
        <v>354</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v>36422</v>
      </c>
      <c r="AI130" s="120"/>
      <c r="AJ130" s="110"/>
      <c r="AK130" s="110"/>
      <c r="AL130" s="124"/>
      <c r="AM130" s="123"/>
      <c r="AN130" s="112">
        <f t="shared" si="19"/>
        <v>36422</v>
      </c>
      <c r="AO130" s="103"/>
    </row>
    <row r="131" spans="1:41" ht="14.45" customHeight="1" x14ac:dyDescent="0.2">
      <c r="A131" s="162" t="s">
        <v>355</v>
      </c>
      <c r="B131" s="250" t="s">
        <v>778</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v>32339</v>
      </c>
      <c r="AI131" s="120"/>
      <c r="AJ131" s="110"/>
      <c r="AK131" s="110"/>
      <c r="AL131" s="124"/>
      <c r="AM131" s="123"/>
      <c r="AN131" s="112">
        <f t="shared" si="19"/>
        <v>32339</v>
      </c>
      <c r="AO131" s="103"/>
    </row>
    <row r="132" spans="1:41" ht="14.45" customHeight="1" x14ac:dyDescent="0.2">
      <c r="A132" s="162" t="s">
        <v>756</v>
      </c>
      <c r="B132" s="250" t="s">
        <v>779</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v>3</v>
      </c>
      <c r="AI132" s="120"/>
      <c r="AJ132" s="110"/>
      <c r="AK132" s="110"/>
      <c r="AL132" s="124"/>
      <c r="AM132" s="123"/>
      <c r="AN132" s="112">
        <f t="shared" si="19"/>
        <v>3</v>
      </c>
      <c r="AO132" s="103"/>
    </row>
    <row r="133" spans="1:41" ht="14.45" customHeight="1" x14ac:dyDescent="0.2">
      <c r="A133" s="162" t="s">
        <v>757</v>
      </c>
      <c r="B133" s="250" t="s">
        <v>780</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v>-82</v>
      </c>
      <c r="AI133" s="120"/>
      <c r="AJ133" s="110"/>
      <c r="AK133" s="110"/>
      <c r="AL133" s="124"/>
      <c r="AM133" s="123"/>
      <c r="AN133" s="112">
        <f t="shared" si="19"/>
        <v>-82</v>
      </c>
      <c r="AO133" s="103"/>
    </row>
    <row r="134" spans="1:41" ht="14.45" customHeight="1" x14ac:dyDescent="0.2">
      <c r="A134" s="162" t="s">
        <v>758</v>
      </c>
      <c r="B134" s="250" t="s">
        <v>781</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c r="AI134" s="120"/>
      <c r="AJ134" s="110"/>
      <c r="AK134" s="110"/>
      <c r="AL134" s="124"/>
      <c r="AM134" s="123"/>
      <c r="AN134" s="112">
        <f t="shared" si="19"/>
        <v>0</v>
      </c>
      <c r="AO134" s="103"/>
    </row>
    <row r="135" spans="1:41" ht="15.75" x14ac:dyDescent="0.2">
      <c r="A135" s="438" t="s">
        <v>356</v>
      </c>
      <c r="B135" s="439"/>
      <c r="C135" s="159">
        <f t="shared" ref="C135:V135" si="20">SUM(C111:C134)</f>
        <v>0</v>
      </c>
      <c r="D135" s="123">
        <f t="shared" si="20"/>
        <v>9</v>
      </c>
      <c r="E135" s="123">
        <f t="shared" si="20"/>
        <v>22014</v>
      </c>
      <c r="F135" s="123">
        <f t="shared" si="20"/>
        <v>54</v>
      </c>
      <c r="G135" s="123">
        <f t="shared" si="20"/>
        <v>-8</v>
      </c>
      <c r="H135" s="110">
        <f t="shared" si="20"/>
        <v>0</v>
      </c>
      <c r="I135" s="123">
        <f t="shared" si="20"/>
        <v>0</v>
      </c>
      <c r="J135" s="123">
        <f t="shared" si="20"/>
        <v>1203</v>
      </c>
      <c r="K135" s="110">
        <f t="shared" si="20"/>
        <v>0</v>
      </c>
      <c r="L135" s="110">
        <f t="shared" si="20"/>
        <v>0</v>
      </c>
      <c r="M135" s="352">
        <f t="shared" si="20"/>
        <v>1</v>
      </c>
      <c r="N135" s="352">
        <f t="shared" si="20"/>
        <v>-10</v>
      </c>
      <c r="O135" s="352">
        <f t="shared" si="20"/>
        <v>0</v>
      </c>
      <c r="P135" s="352">
        <f t="shared" si="20"/>
        <v>0</v>
      </c>
      <c r="Q135" s="352">
        <f t="shared" si="20"/>
        <v>0</v>
      </c>
      <c r="R135" s="352">
        <f t="shared" si="20"/>
        <v>0</v>
      </c>
      <c r="S135" s="352">
        <f t="shared" si="20"/>
        <v>0</v>
      </c>
      <c r="T135" s="352">
        <f t="shared" si="20"/>
        <v>215</v>
      </c>
      <c r="U135" s="352">
        <f t="shared" si="20"/>
        <v>0</v>
      </c>
      <c r="V135" s="352">
        <f t="shared" si="20"/>
        <v>0</v>
      </c>
      <c r="W135" s="123">
        <f t="shared" ref="W135:AE135" si="21">SUM(W111:W134)</f>
        <v>804</v>
      </c>
      <c r="X135" s="123">
        <f t="shared" si="21"/>
        <v>0</v>
      </c>
      <c r="Y135" s="123">
        <f t="shared" si="21"/>
        <v>0</v>
      </c>
      <c r="Z135" s="123">
        <f t="shared" si="21"/>
        <v>0</v>
      </c>
      <c r="AA135" s="123">
        <f t="shared" si="21"/>
        <v>0</v>
      </c>
      <c r="AB135" s="123">
        <f t="shared" si="21"/>
        <v>23</v>
      </c>
      <c r="AC135" s="123">
        <f t="shared" si="21"/>
        <v>0</v>
      </c>
      <c r="AD135" s="123">
        <f t="shared" si="21"/>
        <v>0</v>
      </c>
      <c r="AE135" s="123">
        <f t="shared" si="21"/>
        <v>0</v>
      </c>
      <c r="AF135" s="123">
        <f t="shared" ref="AF135:AM135" si="22">SUM(AF111:AF134)</f>
        <v>0</v>
      </c>
      <c r="AG135" s="110">
        <f t="shared" si="22"/>
        <v>0</v>
      </c>
      <c r="AH135" s="130">
        <f t="shared" si="22"/>
        <v>-53647</v>
      </c>
      <c r="AI135" s="133">
        <f t="shared" si="22"/>
        <v>0</v>
      </c>
      <c r="AJ135" s="393">
        <f t="shared" si="22"/>
        <v>0</v>
      </c>
      <c r="AK135" s="161">
        <f t="shared" si="22"/>
        <v>0</v>
      </c>
      <c r="AL135" s="130">
        <f t="shared" si="22"/>
        <v>0</v>
      </c>
      <c r="AM135" s="130">
        <f t="shared" si="22"/>
        <v>15930</v>
      </c>
      <c r="AN135" s="112">
        <f t="shared" si="19"/>
        <v>-13412</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50" t="s">
        <v>357</v>
      </c>
      <c r="B137" s="551"/>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358</v>
      </c>
      <c r="B138" s="250" t="s">
        <v>359</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v>174254</v>
      </c>
      <c r="AJ138" s="120"/>
      <c r="AK138" s="110"/>
      <c r="AL138" s="124"/>
      <c r="AM138" s="123"/>
      <c r="AN138" s="112">
        <f t="shared" ref="AN138:AN155" si="23">SUM(C138:AM138)</f>
        <v>174254</v>
      </c>
      <c r="AO138" s="103"/>
    </row>
    <row r="139" spans="1:41" ht="14.45" customHeight="1" x14ac:dyDescent="0.2">
      <c r="A139" s="153" t="s">
        <v>360</v>
      </c>
      <c r="B139" s="250" t="s">
        <v>361</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v>137192</v>
      </c>
      <c r="AJ139" s="120"/>
      <c r="AK139" s="110"/>
      <c r="AL139" s="124"/>
      <c r="AM139" s="123"/>
      <c r="AN139" s="112">
        <f t="shared" si="23"/>
        <v>137192</v>
      </c>
      <c r="AO139" s="103"/>
    </row>
    <row r="140" spans="1:41" ht="14.45" customHeight="1" x14ac:dyDescent="0.2">
      <c r="A140" s="153" t="s">
        <v>362</v>
      </c>
      <c r="B140" s="250" t="s">
        <v>363</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364</v>
      </c>
      <c r="B141" s="250" t="s">
        <v>365</v>
      </c>
      <c r="C141" s="121">
        <v>485</v>
      </c>
      <c r="D141" s="121"/>
      <c r="E141" s="121"/>
      <c r="F141" s="121">
        <v>154</v>
      </c>
      <c r="G141" s="121"/>
      <c r="H141" s="121"/>
      <c r="I141" s="121"/>
      <c r="J141" s="121">
        <v>3720</v>
      </c>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v>7147</v>
      </c>
      <c r="AK141" s="120"/>
      <c r="AL141" s="124"/>
      <c r="AM141" s="123"/>
      <c r="AN141" s="112">
        <f t="shared" si="23"/>
        <v>11506</v>
      </c>
      <c r="AO141" s="103"/>
    </row>
    <row r="142" spans="1:41" ht="14.45" customHeight="1" x14ac:dyDescent="0.2">
      <c r="A142" s="153" t="s">
        <v>366</v>
      </c>
      <c r="B142" s="250" t="s">
        <v>367</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368</v>
      </c>
      <c r="B143" s="250" t="s">
        <v>369</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370</v>
      </c>
      <c r="B144" s="250" t="s">
        <v>371</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372</v>
      </c>
      <c r="B145" s="250" t="s">
        <v>373</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374</v>
      </c>
      <c r="B146" s="250" t="s">
        <v>375</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782</v>
      </c>
      <c r="B147" s="250" t="s">
        <v>874</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783</v>
      </c>
      <c r="B148" s="250" t="s">
        <v>875</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784</v>
      </c>
      <c r="B149" s="250" t="s">
        <v>876</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376</v>
      </c>
      <c r="B150" s="250" t="s">
        <v>377</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378</v>
      </c>
      <c r="B151" s="250" t="s">
        <v>379</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380</v>
      </c>
      <c r="B152" s="250" t="s">
        <v>381</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382</v>
      </c>
      <c r="B153" s="250" t="s">
        <v>383</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619</v>
      </c>
      <c r="B154" s="382" t="s">
        <v>641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8" t="s">
        <v>384</v>
      </c>
      <c r="B155" s="439"/>
      <c r="C155" s="131">
        <f t="shared" ref="C155:D155" si="24">SUM(C138:C154)</f>
        <v>485</v>
      </c>
      <c r="D155" s="131">
        <f t="shared" si="24"/>
        <v>0</v>
      </c>
      <c r="E155" s="131">
        <f>SUM(E138:E154)</f>
        <v>0</v>
      </c>
      <c r="F155" s="131">
        <f t="shared" ref="F155:AF155" si="25">SUM(F138:F154)</f>
        <v>154</v>
      </c>
      <c r="G155" s="131">
        <f t="shared" si="25"/>
        <v>0</v>
      </c>
      <c r="H155" s="131">
        <f t="shared" si="25"/>
        <v>0</v>
      </c>
      <c r="I155" s="131">
        <f t="shared" si="25"/>
        <v>0</v>
      </c>
      <c r="J155" s="131">
        <f t="shared" si="25"/>
        <v>3720</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311446</v>
      </c>
      <c r="AJ155" s="130">
        <f>SUM(AJ138:AJ154)</f>
        <v>7147</v>
      </c>
      <c r="AK155" s="133">
        <f>SUM(AK138:AK154)</f>
        <v>0</v>
      </c>
      <c r="AL155" s="134">
        <f>SUM(AL138:AL154)</f>
        <v>0</v>
      </c>
      <c r="AM155" s="130">
        <f>SUM(AM138:AM154)</f>
        <v>0</v>
      </c>
      <c r="AN155" s="112">
        <f t="shared" si="23"/>
        <v>322952</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48" t="s">
        <v>385</v>
      </c>
      <c r="B157" s="549"/>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386</v>
      </c>
      <c r="B158" s="250" t="s">
        <v>805</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785</v>
      </c>
      <c r="B159" s="250" t="s">
        <v>786</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787</v>
      </c>
      <c r="B160" s="250" t="s">
        <v>788</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789</v>
      </c>
      <c r="B161" s="250" t="s">
        <v>790</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387</v>
      </c>
      <c r="B162" s="250" t="s">
        <v>388</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389</v>
      </c>
      <c r="B163" s="250" t="s">
        <v>485</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390</v>
      </c>
      <c r="B164" s="250" t="s">
        <v>391</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392</v>
      </c>
      <c r="B165" s="250" t="s">
        <v>393</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394</v>
      </c>
      <c r="B166" s="250" t="s">
        <v>791</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c r="AI166" s="120"/>
      <c r="AJ166" s="110"/>
      <c r="AK166" s="110"/>
      <c r="AL166" s="124"/>
      <c r="AM166" s="123"/>
      <c r="AN166" s="112">
        <f t="shared" si="28"/>
        <v>0</v>
      </c>
      <c r="AO166" s="103"/>
    </row>
    <row r="167" spans="1:41" ht="14.45" customHeight="1" x14ac:dyDescent="0.2">
      <c r="A167" s="162" t="s">
        <v>763</v>
      </c>
      <c r="B167" s="250" t="s">
        <v>792</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764</v>
      </c>
      <c r="B168" s="250" t="s">
        <v>793</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765</v>
      </c>
      <c r="B169" s="250" t="s">
        <v>794</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8" t="s">
        <v>395</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0</v>
      </c>
      <c r="AI170" s="120">
        <f t="shared" si="31"/>
        <v>0</v>
      </c>
      <c r="AJ170" s="110">
        <f t="shared" si="31"/>
        <v>0</v>
      </c>
      <c r="AK170" s="110">
        <f t="shared" si="31"/>
        <v>0</v>
      </c>
      <c r="AL170" s="124">
        <f t="shared" si="31"/>
        <v>0</v>
      </c>
      <c r="AM170" s="123">
        <f t="shared" si="31"/>
        <v>0</v>
      </c>
      <c r="AN170" s="112">
        <f>SUM(C170:AM170)</f>
        <v>0</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396</v>
      </c>
      <c r="B172" s="168"/>
      <c r="C172" s="147">
        <f t="shared" ref="C172:V172" si="32">SUM(C108,C135,C155,C170)</f>
        <v>485</v>
      </c>
      <c r="D172" s="147">
        <f t="shared" si="32"/>
        <v>9</v>
      </c>
      <c r="E172" s="147">
        <f t="shared" si="32"/>
        <v>24729</v>
      </c>
      <c r="F172" s="147">
        <f t="shared" si="32"/>
        <v>12627</v>
      </c>
      <c r="G172" s="147">
        <f t="shared" si="32"/>
        <v>-8</v>
      </c>
      <c r="H172" s="147">
        <f t="shared" si="32"/>
        <v>0</v>
      </c>
      <c r="I172" s="147">
        <f t="shared" si="32"/>
        <v>257</v>
      </c>
      <c r="J172" s="147">
        <f t="shared" si="32"/>
        <v>29202</v>
      </c>
      <c r="K172" s="147">
        <f t="shared" si="32"/>
        <v>0</v>
      </c>
      <c r="L172" s="147">
        <f t="shared" si="32"/>
        <v>0</v>
      </c>
      <c r="M172" s="147">
        <f t="shared" si="32"/>
        <v>1</v>
      </c>
      <c r="N172" s="147">
        <f t="shared" si="32"/>
        <v>439</v>
      </c>
      <c r="O172" s="147">
        <f t="shared" si="32"/>
        <v>0</v>
      </c>
      <c r="P172" s="147">
        <f t="shared" si="32"/>
        <v>0</v>
      </c>
      <c r="Q172" s="147">
        <f t="shared" si="32"/>
        <v>0</v>
      </c>
      <c r="R172" s="147">
        <f t="shared" si="32"/>
        <v>0</v>
      </c>
      <c r="S172" s="147">
        <f t="shared" si="32"/>
        <v>0</v>
      </c>
      <c r="T172" s="147">
        <f t="shared" si="32"/>
        <v>240</v>
      </c>
      <c r="U172" s="147">
        <f t="shared" si="32"/>
        <v>0</v>
      </c>
      <c r="V172" s="147">
        <f t="shared" si="32"/>
        <v>0</v>
      </c>
      <c r="W172" s="147">
        <f t="shared" ref="W172:AE172" si="33">SUM(W108,W135,W155,W170)</f>
        <v>804</v>
      </c>
      <c r="X172" s="147">
        <f t="shared" si="33"/>
        <v>929</v>
      </c>
      <c r="Y172" s="147">
        <f t="shared" si="33"/>
        <v>0</v>
      </c>
      <c r="Z172" s="147">
        <f t="shared" si="33"/>
        <v>0</v>
      </c>
      <c r="AA172" s="147">
        <f t="shared" si="33"/>
        <v>0</v>
      </c>
      <c r="AB172" s="147">
        <f t="shared" si="33"/>
        <v>23</v>
      </c>
      <c r="AC172" s="147">
        <f t="shared" si="33"/>
        <v>0</v>
      </c>
      <c r="AD172" s="147">
        <f t="shared" si="33"/>
        <v>0</v>
      </c>
      <c r="AE172" s="147">
        <f t="shared" si="33"/>
        <v>0</v>
      </c>
      <c r="AF172" s="147">
        <f t="shared" ref="AF172:AM172" si="34">SUM(AF108,AF135,AF155,AF170)</f>
        <v>0</v>
      </c>
      <c r="AG172" s="147">
        <f t="shared" si="34"/>
        <v>0</v>
      </c>
      <c r="AH172" s="147">
        <f t="shared" si="34"/>
        <v>126497</v>
      </c>
      <c r="AI172" s="147">
        <f t="shared" si="34"/>
        <v>311446</v>
      </c>
      <c r="AJ172" s="147">
        <f t="shared" si="34"/>
        <v>7147</v>
      </c>
      <c r="AK172" s="147">
        <f t="shared" si="34"/>
        <v>0</v>
      </c>
      <c r="AL172" s="169">
        <f t="shared" si="34"/>
        <v>0</v>
      </c>
      <c r="AM172" s="147">
        <f t="shared" si="34"/>
        <v>15930</v>
      </c>
      <c r="AN172" s="148">
        <f>SUM(C172:AM172)</f>
        <v>530757</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397</v>
      </c>
      <c r="B174" s="168"/>
      <c r="C174" s="147">
        <f t="shared" ref="C174:V174" si="35">SUM(C80,C172)</f>
        <v>109700</v>
      </c>
      <c r="D174" s="147">
        <f t="shared" si="35"/>
        <v>934</v>
      </c>
      <c r="E174" s="147">
        <f t="shared" si="35"/>
        <v>25806</v>
      </c>
      <c r="F174" s="147">
        <f t="shared" si="35"/>
        <v>17134</v>
      </c>
      <c r="G174" s="147">
        <f t="shared" si="35"/>
        <v>49</v>
      </c>
      <c r="H174" s="147">
        <f t="shared" si="35"/>
        <v>0</v>
      </c>
      <c r="I174" s="147">
        <f t="shared" si="35"/>
        <v>6857</v>
      </c>
      <c r="J174" s="147">
        <f t="shared" si="35"/>
        <v>118045</v>
      </c>
      <c r="K174" s="147">
        <f t="shared" si="35"/>
        <v>0</v>
      </c>
      <c r="L174" s="147">
        <f t="shared" si="35"/>
        <v>146911</v>
      </c>
      <c r="M174" s="147">
        <f t="shared" si="35"/>
        <v>580</v>
      </c>
      <c r="N174" s="147">
        <f t="shared" si="35"/>
        <v>16819</v>
      </c>
      <c r="O174" s="147">
        <f t="shared" si="35"/>
        <v>333</v>
      </c>
      <c r="P174" s="147">
        <f t="shared" si="35"/>
        <v>18</v>
      </c>
      <c r="Q174" s="147">
        <f t="shared" si="35"/>
        <v>-1109</v>
      </c>
      <c r="R174" s="147">
        <f t="shared" si="35"/>
        <v>6758</v>
      </c>
      <c r="S174" s="147">
        <f t="shared" si="35"/>
        <v>0</v>
      </c>
      <c r="T174" s="147">
        <f t="shared" si="35"/>
        <v>155918</v>
      </c>
      <c r="U174" s="147">
        <f t="shared" si="35"/>
        <v>0</v>
      </c>
      <c r="V174" s="147">
        <f t="shared" si="35"/>
        <v>0</v>
      </c>
      <c r="W174" s="147">
        <f t="shared" ref="W174:AE174" si="36">SUM(W80,W172)</f>
        <v>804</v>
      </c>
      <c r="X174" s="147">
        <f t="shared" si="36"/>
        <v>5098</v>
      </c>
      <c r="Y174" s="147">
        <f t="shared" si="36"/>
        <v>0</v>
      </c>
      <c r="Z174" s="147">
        <f t="shared" si="36"/>
        <v>0</v>
      </c>
      <c r="AA174" s="147">
        <f t="shared" si="36"/>
        <v>0</v>
      </c>
      <c r="AB174" s="147">
        <f t="shared" si="36"/>
        <v>23</v>
      </c>
      <c r="AC174" s="147">
        <f t="shared" si="36"/>
        <v>0</v>
      </c>
      <c r="AD174" s="147">
        <f t="shared" si="36"/>
        <v>14543</v>
      </c>
      <c r="AE174" s="147">
        <f t="shared" si="36"/>
        <v>0</v>
      </c>
      <c r="AF174" s="147">
        <f t="shared" ref="AF174:AM174" si="37">SUM(AF80,AF172)</f>
        <v>0</v>
      </c>
      <c r="AG174" s="147">
        <f t="shared" si="37"/>
        <v>225</v>
      </c>
      <c r="AH174" s="147">
        <f t="shared" si="37"/>
        <v>126497</v>
      </c>
      <c r="AI174" s="147">
        <f t="shared" si="37"/>
        <v>587504</v>
      </c>
      <c r="AJ174" s="147">
        <f t="shared" si="37"/>
        <v>41678</v>
      </c>
      <c r="AK174" s="147">
        <f t="shared" si="37"/>
        <v>25280</v>
      </c>
      <c r="AL174" s="147">
        <f t="shared" si="37"/>
        <v>0</v>
      </c>
      <c r="AM174" s="147">
        <f t="shared" si="37"/>
        <v>46219</v>
      </c>
      <c r="AN174" s="148">
        <f>SUM(C174:AM174)</f>
        <v>1452624</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135" activePane="bottomRight" state="frozen"/>
      <selection activeCell="U150" sqref="U150"/>
      <selection pane="topRight" activeCell="U150" sqref="U150"/>
      <selection pane="bottomLeft" activeCell="U150" sqref="U150"/>
      <selection pane="bottomRight" activeCell="AF1" sqref="AF1"/>
    </sheetView>
  </sheetViews>
  <sheetFormatPr defaultColWidth="9.140625"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Provincie Limburg (0011): 2025 periode 5, baten</v>
      </c>
      <c r="B1" s="87"/>
      <c r="C1" s="88" t="s">
        <v>400</v>
      </c>
      <c r="D1" s="88" t="s">
        <v>401</v>
      </c>
      <c r="E1" s="88" t="s">
        <v>117</v>
      </c>
      <c r="F1" s="88" t="s">
        <v>118</v>
      </c>
      <c r="G1" s="88" t="s">
        <v>119</v>
      </c>
      <c r="H1" s="88" t="s">
        <v>402</v>
      </c>
      <c r="I1" s="88" t="s">
        <v>403</v>
      </c>
      <c r="J1" s="88" t="s">
        <v>404</v>
      </c>
      <c r="K1" s="88" t="s">
        <v>405</v>
      </c>
      <c r="L1" s="88" t="s">
        <v>122</v>
      </c>
      <c r="M1" s="88" t="s">
        <v>406</v>
      </c>
      <c r="N1" s="88" t="s">
        <v>125</v>
      </c>
      <c r="O1" s="88" t="s">
        <v>126</v>
      </c>
      <c r="P1" s="88" t="s">
        <v>127</v>
      </c>
      <c r="Q1" s="88" t="s">
        <v>128</v>
      </c>
      <c r="R1" s="88" t="s">
        <v>129</v>
      </c>
      <c r="S1" s="88" t="s">
        <v>130</v>
      </c>
      <c r="T1" s="88" t="s">
        <v>131</v>
      </c>
      <c r="U1" s="88" t="s">
        <v>132</v>
      </c>
      <c r="V1" s="88" t="s">
        <v>133</v>
      </c>
      <c r="W1" s="88" t="s">
        <v>134</v>
      </c>
      <c r="X1" s="88" t="s">
        <v>718</v>
      </c>
      <c r="Y1" s="88" t="s">
        <v>729</v>
      </c>
      <c r="Z1" s="88" t="s">
        <v>730</v>
      </c>
      <c r="AA1" s="88" t="s">
        <v>731</v>
      </c>
      <c r="AB1" s="88" t="s">
        <v>732</v>
      </c>
      <c r="AC1" s="88" t="s">
        <v>733</v>
      </c>
      <c r="AD1" s="88" t="s">
        <v>734</v>
      </c>
      <c r="AE1" s="88" t="s">
        <v>735</v>
      </c>
      <c r="AF1" s="88" t="s">
        <v>809</v>
      </c>
      <c r="AG1" s="88" t="s">
        <v>727</v>
      </c>
      <c r="AH1" s="88" t="s">
        <v>135</v>
      </c>
      <c r="AI1" s="88" t="s">
        <v>246</v>
      </c>
      <c r="AJ1" s="88" t="s">
        <v>136</v>
      </c>
      <c r="AK1" s="88" t="s">
        <v>137</v>
      </c>
      <c r="AL1" s="88" t="s">
        <v>138</v>
      </c>
      <c r="AM1" s="88" t="s">
        <v>139</v>
      </c>
      <c r="AN1" s="88" t="s">
        <v>140</v>
      </c>
      <c r="AO1" s="88" t="s">
        <v>141</v>
      </c>
      <c r="AP1" s="89"/>
      <c r="AQ1" s="90"/>
    </row>
    <row r="2" spans="1:43" ht="168" customHeight="1" thickBot="1" x14ac:dyDescent="0.3">
      <c r="A2" s="92" t="s">
        <v>142</v>
      </c>
      <c r="B2" s="93" t="s">
        <v>143</v>
      </c>
      <c r="C2" s="311" t="s">
        <v>407</v>
      </c>
      <c r="D2" s="94" t="s">
        <v>408</v>
      </c>
      <c r="E2" s="94" t="s">
        <v>146</v>
      </c>
      <c r="F2" s="94" t="s">
        <v>147</v>
      </c>
      <c r="G2" s="94" t="s">
        <v>148</v>
      </c>
      <c r="H2" s="94" t="s">
        <v>409</v>
      </c>
      <c r="I2" s="94" t="s">
        <v>410</v>
      </c>
      <c r="J2" s="94" t="s">
        <v>411</v>
      </c>
      <c r="K2" s="94" t="s">
        <v>412</v>
      </c>
      <c r="L2" s="94" t="s">
        <v>151</v>
      </c>
      <c r="M2" s="94" t="s">
        <v>413</v>
      </c>
      <c r="N2" s="94" t="s">
        <v>154</v>
      </c>
      <c r="O2" s="94" t="s">
        <v>155</v>
      </c>
      <c r="P2" s="94" t="s">
        <v>156</v>
      </c>
      <c r="Q2" s="94" t="s">
        <v>895</v>
      </c>
      <c r="R2" s="94" t="s">
        <v>157</v>
      </c>
      <c r="S2" s="94" t="s">
        <v>158</v>
      </c>
      <c r="T2" s="94" t="s">
        <v>159</v>
      </c>
      <c r="U2" s="94" t="s">
        <v>160</v>
      </c>
      <c r="V2" s="94" t="s">
        <v>161</v>
      </c>
      <c r="W2" s="94" t="s">
        <v>877</v>
      </c>
      <c r="X2" s="94" t="s">
        <v>719</v>
      </c>
      <c r="Y2" s="94" t="s">
        <v>720</v>
      </c>
      <c r="Z2" s="94" t="s">
        <v>721</v>
      </c>
      <c r="AA2" s="94" t="s">
        <v>896</v>
      </c>
      <c r="AB2" s="94" t="s">
        <v>722</v>
      </c>
      <c r="AC2" s="94" t="s">
        <v>723</v>
      </c>
      <c r="AD2" s="94" t="s">
        <v>724</v>
      </c>
      <c r="AE2" s="95" t="s">
        <v>725</v>
      </c>
      <c r="AF2" s="95" t="s">
        <v>726</v>
      </c>
      <c r="AG2" s="94" t="s">
        <v>728</v>
      </c>
      <c r="AH2" s="94" t="s">
        <v>162</v>
      </c>
      <c r="AI2" s="94" t="s">
        <v>414</v>
      </c>
      <c r="AJ2" s="95" t="s">
        <v>163</v>
      </c>
      <c r="AK2" s="94" t="s">
        <v>164</v>
      </c>
      <c r="AL2" s="94" t="s">
        <v>165</v>
      </c>
      <c r="AM2" s="94" t="s">
        <v>166</v>
      </c>
      <c r="AN2" s="94" t="s">
        <v>167</v>
      </c>
      <c r="AO2" s="94" t="s">
        <v>168</v>
      </c>
      <c r="AP2" s="96" t="s">
        <v>169</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170</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5" customHeight="1" x14ac:dyDescent="0.2">
      <c r="A5" s="109" t="s">
        <v>171</v>
      </c>
      <c r="B5" s="179" t="s">
        <v>172</v>
      </c>
      <c r="C5" s="110"/>
      <c r="D5" s="110"/>
      <c r="E5" s="110"/>
      <c r="F5" s="110"/>
      <c r="G5" s="110"/>
      <c r="H5" s="110"/>
      <c r="I5" s="110"/>
      <c r="J5" s="110"/>
      <c r="K5" s="110"/>
      <c r="L5" s="110"/>
      <c r="M5" s="124"/>
      <c r="N5" s="174">
        <v>318072</v>
      </c>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318072</v>
      </c>
    </row>
    <row r="6" spans="1:43" ht="14.45" customHeight="1" x14ac:dyDescent="0.2">
      <c r="A6" s="109" t="s">
        <v>173</v>
      </c>
      <c r="B6" s="179" t="s">
        <v>174</v>
      </c>
      <c r="C6" s="121"/>
      <c r="D6" s="123">
        <v>129344</v>
      </c>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129344</v>
      </c>
    </row>
    <row r="7" spans="1:43" ht="14.45" customHeight="1" x14ac:dyDescent="0.2">
      <c r="A7" s="109" t="s">
        <v>175</v>
      </c>
      <c r="B7" s="179" t="s">
        <v>176</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v>31757</v>
      </c>
      <c r="AI7" s="123"/>
      <c r="AJ7" s="123">
        <v>1029</v>
      </c>
      <c r="AK7" s="124"/>
      <c r="AL7" s="123"/>
      <c r="AM7" s="120"/>
      <c r="AN7" s="123"/>
      <c r="AO7" s="123"/>
      <c r="AP7" s="175">
        <f t="shared" si="0"/>
        <v>32786</v>
      </c>
    </row>
    <row r="8" spans="1:43" x14ac:dyDescent="0.2">
      <c r="A8" s="109" t="s">
        <v>177</v>
      </c>
      <c r="B8" s="179" t="s">
        <v>178</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v>22467</v>
      </c>
      <c r="AJ8" s="123"/>
      <c r="AK8" s="124"/>
      <c r="AL8" s="118"/>
      <c r="AM8" s="120"/>
      <c r="AN8" s="124"/>
      <c r="AO8" s="118"/>
      <c r="AP8" s="112">
        <f t="shared" si="0"/>
        <v>22467</v>
      </c>
    </row>
    <row r="9" spans="1:43" ht="14.45" customHeight="1" x14ac:dyDescent="0.2">
      <c r="A9" s="109" t="s">
        <v>179</v>
      </c>
      <c r="B9" s="179" t="s">
        <v>180</v>
      </c>
      <c r="C9" s="110"/>
      <c r="D9" s="124">
        <v>-3524</v>
      </c>
      <c r="E9" s="123">
        <v>12</v>
      </c>
      <c r="F9" s="123"/>
      <c r="G9" s="123">
        <v>-1</v>
      </c>
      <c r="H9" s="119"/>
      <c r="I9" s="123"/>
      <c r="J9" s="123"/>
      <c r="K9" s="119"/>
      <c r="L9" s="123">
        <v>25</v>
      </c>
      <c r="M9" s="119"/>
      <c r="N9" s="123">
        <v>35</v>
      </c>
      <c r="O9" s="123"/>
      <c r="P9" s="123"/>
      <c r="Q9" s="123"/>
      <c r="R9" s="123"/>
      <c r="S9" s="123"/>
      <c r="T9" s="123"/>
      <c r="U9" s="123">
        <v>343</v>
      </c>
      <c r="V9" s="123"/>
      <c r="W9" s="417"/>
      <c r="X9" s="123"/>
      <c r="Y9" s="123"/>
      <c r="Z9" s="123"/>
      <c r="AA9" s="123"/>
      <c r="AB9" s="123"/>
      <c r="AC9" s="123"/>
      <c r="AD9" s="123"/>
      <c r="AE9" s="123"/>
      <c r="AF9" s="417"/>
      <c r="AG9" s="123"/>
      <c r="AH9" s="120"/>
      <c r="AI9" s="304">
        <v>-739</v>
      </c>
      <c r="AJ9" s="110">
        <v>22</v>
      </c>
      <c r="AK9" s="124"/>
      <c r="AL9" s="123">
        <v>1909</v>
      </c>
      <c r="AM9" s="120"/>
      <c r="AN9" s="124"/>
      <c r="AO9" s="123"/>
      <c r="AP9" s="112">
        <f t="shared" si="0"/>
        <v>-1918</v>
      </c>
    </row>
    <row r="10" spans="1:43" ht="14.45" customHeight="1" x14ac:dyDescent="0.2">
      <c r="A10" s="109" t="s">
        <v>181</v>
      </c>
      <c r="B10" s="179" t="s">
        <v>182</v>
      </c>
      <c r="C10" s="110"/>
      <c r="D10" s="110"/>
      <c r="E10" s="128"/>
      <c r="F10" s="128"/>
      <c r="G10" s="128"/>
      <c r="H10" s="110"/>
      <c r="I10" s="123">
        <v>3</v>
      </c>
      <c r="J10" s="123">
        <v>447</v>
      </c>
      <c r="K10" s="119"/>
      <c r="L10" s="123">
        <v>797</v>
      </c>
      <c r="M10" s="119"/>
      <c r="N10" s="123"/>
      <c r="O10" s="123"/>
      <c r="P10" s="123"/>
      <c r="Q10" s="123"/>
      <c r="R10" s="123"/>
      <c r="S10" s="123"/>
      <c r="T10" s="123"/>
      <c r="U10" s="123"/>
      <c r="V10" s="123"/>
      <c r="W10" s="417"/>
      <c r="X10" s="123">
        <v>8</v>
      </c>
      <c r="Y10" s="123"/>
      <c r="Z10" s="123"/>
      <c r="AA10" s="123"/>
      <c r="AB10" s="123"/>
      <c r="AC10" s="123"/>
      <c r="AD10" s="123"/>
      <c r="AE10" s="123"/>
      <c r="AF10" s="417"/>
      <c r="AG10" s="123"/>
      <c r="AH10" s="120"/>
      <c r="AI10" s="110"/>
      <c r="AJ10" s="110"/>
      <c r="AK10" s="124"/>
      <c r="AL10" s="123"/>
      <c r="AM10" s="120"/>
      <c r="AN10" s="124"/>
      <c r="AO10" s="123"/>
      <c r="AP10" s="112">
        <f t="shared" si="0"/>
        <v>1255</v>
      </c>
    </row>
    <row r="11" spans="1:43" ht="14.45" customHeight="1" x14ac:dyDescent="0.2">
      <c r="A11" s="109" t="s">
        <v>183</v>
      </c>
      <c r="B11" s="179" t="s">
        <v>184</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5" customHeight="1" x14ac:dyDescent="0.2">
      <c r="A12" s="109" t="s">
        <v>185</v>
      </c>
      <c r="B12" s="179" t="s">
        <v>186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v>311206</v>
      </c>
      <c r="AL12" s="120"/>
      <c r="AM12" s="110"/>
      <c r="AN12" s="110"/>
      <c r="AO12" s="111"/>
      <c r="AP12" s="112">
        <f t="shared" si="0"/>
        <v>311206</v>
      </c>
    </row>
    <row r="13" spans="1:43" ht="14.45" customHeight="1" x14ac:dyDescent="0.2">
      <c r="A13" s="109" t="s">
        <v>187</v>
      </c>
      <c r="B13" s="179" t="s">
        <v>188</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46" t="s">
        <v>189</v>
      </c>
      <c r="B14" s="547"/>
      <c r="C14" s="307">
        <f>SUM(C5:C13)</f>
        <v>0</v>
      </c>
      <c r="D14" s="130">
        <f t="shared" ref="D14:AO14" si="1">SUM(D5:D13)</f>
        <v>125820</v>
      </c>
      <c r="E14" s="130">
        <f t="shared" si="1"/>
        <v>12</v>
      </c>
      <c r="F14" s="130">
        <f t="shared" si="1"/>
        <v>0</v>
      </c>
      <c r="G14" s="130">
        <f t="shared" si="1"/>
        <v>-1</v>
      </c>
      <c r="H14" s="110">
        <f t="shared" si="1"/>
        <v>0</v>
      </c>
      <c r="I14" s="130">
        <f t="shared" si="1"/>
        <v>3</v>
      </c>
      <c r="J14" s="130">
        <f t="shared" si="1"/>
        <v>447</v>
      </c>
      <c r="K14" s="130">
        <f t="shared" si="1"/>
        <v>0</v>
      </c>
      <c r="L14" s="130">
        <f t="shared" si="1"/>
        <v>822</v>
      </c>
      <c r="M14" s="119">
        <f t="shared" si="1"/>
        <v>0</v>
      </c>
      <c r="N14" s="130">
        <f t="shared" si="1"/>
        <v>318107</v>
      </c>
      <c r="O14" s="130">
        <f t="shared" si="1"/>
        <v>0</v>
      </c>
      <c r="P14" s="130">
        <f t="shared" si="1"/>
        <v>0</v>
      </c>
      <c r="Q14" s="130">
        <f t="shared" si="1"/>
        <v>0</v>
      </c>
      <c r="R14" s="130">
        <f t="shared" si="1"/>
        <v>0</v>
      </c>
      <c r="S14" s="130">
        <f t="shared" si="1"/>
        <v>0</v>
      </c>
      <c r="T14" s="130">
        <f t="shared" si="1"/>
        <v>0</v>
      </c>
      <c r="U14" s="130">
        <f t="shared" si="1"/>
        <v>343</v>
      </c>
      <c r="V14" s="130">
        <f t="shared" si="1"/>
        <v>0</v>
      </c>
      <c r="W14" s="130">
        <f t="shared" si="1"/>
        <v>0</v>
      </c>
      <c r="X14" s="130">
        <f t="shared" si="1"/>
        <v>8</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31757</v>
      </c>
      <c r="AI14" s="130">
        <f t="shared" si="1"/>
        <v>21728</v>
      </c>
      <c r="AJ14" s="130">
        <f t="shared" si="1"/>
        <v>1051</v>
      </c>
      <c r="AK14" s="130">
        <f t="shared" si="1"/>
        <v>311206</v>
      </c>
      <c r="AL14" s="130">
        <f t="shared" si="1"/>
        <v>1909</v>
      </c>
      <c r="AM14" s="119">
        <f t="shared" si="1"/>
        <v>0</v>
      </c>
      <c r="AN14" s="130">
        <f t="shared" si="1"/>
        <v>0</v>
      </c>
      <c r="AO14" s="130">
        <f t="shared" si="1"/>
        <v>0</v>
      </c>
      <c r="AP14" s="112">
        <f t="shared" si="0"/>
        <v>813212</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190</v>
      </c>
      <c r="B16" s="309" t="s">
        <v>191</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115</v>
      </c>
      <c r="B17" s="179" t="s">
        <v>192</v>
      </c>
      <c r="C17" s="110"/>
      <c r="D17" s="124"/>
      <c r="E17" s="123"/>
      <c r="F17" s="123"/>
      <c r="G17" s="123"/>
      <c r="H17" s="119"/>
      <c r="I17" s="123"/>
      <c r="J17" s="123"/>
      <c r="K17" s="119"/>
      <c r="L17" s="123">
        <v>11</v>
      </c>
      <c r="M17" s="119"/>
      <c r="N17" s="123"/>
      <c r="O17" s="123"/>
      <c r="P17" s="123"/>
      <c r="Q17" s="123"/>
      <c r="R17" s="123"/>
      <c r="S17" s="123"/>
      <c r="T17" s="123"/>
      <c r="U17" s="123">
        <v>11</v>
      </c>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22</v>
      </c>
    </row>
    <row r="18" spans="1:43" ht="14.45" customHeight="1" x14ac:dyDescent="0.2">
      <c r="A18" s="109" t="s">
        <v>193</v>
      </c>
      <c r="B18" s="179" t="s">
        <v>194</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5" customHeight="1" x14ac:dyDescent="0.2">
      <c r="A19" s="109" t="s">
        <v>195</v>
      </c>
      <c r="B19" s="179" t="s">
        <v>196</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5" customHeight="1" x14ac:dyDescent="0.2">
      <c r="A20" s="109" t="s">
        <v>197</v>
      </c>
      <c r="B20" s="179" t="s">
        <v>198</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5" customHeight="1" x14ac:dyDescent="0.2">
      <c r="A21" s="109" t="s">
        <v>199</v>
      </c>
      <c r="B21" s="179" t="s">
        <v>200</v>
      </c>
      <c r="C21" s="110"/>
      <c r="D21" s="124"/>
      <c r="E21" s="123"/>
      <c r="F21" s="123"/>
      <c r="G21" s="123"/>
      <c r="H21" s="119"/>
      <c r="I21" s="123"/>
      <c r="J21" s="123"/>
      <c r="K21" s="119"/>
      <c r="L21" s="123"/>
      <c r="M21" s="119"/>
      <c r="N21" s="123"/>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0</v>
      </c>
    </row>
    <row r="22" spans="1:43" ht="14.45" customHeight="1" x14ac:dyDescent="0.2">
      <c r="A22" s="109" t="s">
        <v>201</v>
      </c>
      <c r="B22" s="179" t="s">
        <v>202</v>
      </c>
      <c r="C22" s="110"/>
      <c r="D22" s="124"/>
      <c r="E22" s="123"/>
      <c r="F22" s="123"/>
      <c r="G22" s="123"/>
      <c r="H22" s="119"/>
      <c r="I22" s="123"/>
      <c r="J22" s="123"/>
      <c r="K22" s="119"/>
      <c r="L22" s="123">
        <v>5</v>
      </c>
      <c r="M22" s="119"/>
      <c r="N22" s="123">
        <v>428</v>
      </c>
      <c r="O22" s="123"/>
      <c r="P22" s="123"/>
      <c r="Q22" s="123"/>
      <c r="R22" s="123"/>
      <c r="S22" s="123">
        <v>214</v>
      </c>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647</v>
      </c>
    </row>
    <row r="23" spans="1:43" ht="14.45" customHeight="1" x14ac:dyDescent="0.2">
      <c r="A23" s="109" t="s">
        <v>203</v>
      </c>
      <c r="B23" s="179" t="s">
        <v>204</v>
      </c>
      <c r="C23" s="110"/>
      <c r="D23" s="124"/>
      <c r="E23" s="123"/>
      <c r="F23" s="123"/>
      <c r="G23" s="123"/>
      <c r="H23" s="119"/>
      <c r="I23" s="123"/>
      <c r="J23" s="123"/>
      <c r="K23" s="123"/>
      <c r="L23" s="123"/>
      <c r="M23" s="119"/>
      <c r="N23" s="123"/>
      <c r="O23" s="123"/>
      <c r="P23" s="123"/>
      <c r="Q23" s="123"/>
      <c r="R23" s="123"/>
      <c r="S23" s="123"/>
      <c r="T23" s="123">
        <v>251</v>
      </c>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251</v>
      </c>
    </row>
    <row r="24" spans="1:43" ht="14.45" customHeight="1" x14ac:dyDescent="0.2">
      <c r="A24" s="544" t="s">
        <v>205</v>
      </c>
      <c r="B24" s="545"/>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16</v>
      </c>
      <c r="M24" s="119">
        <f t="shared" si="3"/>
        <v>0</v>
      </c>
      <c r="N24" s="123">
        <f t="shared" si="3"/>
        <v>428</v>
      </c>
      <c r="O24" s="123">
        <f t="shared" si="3"/>
        <v>0</v>
      </c>
      <c r="P24" s="123">
        <f t="shared" si="3"/>
        <v>0</v>
      </c>
      <c r="Q24" s="123">
        <f t="shared" si="3"/>
        <v>0</v>
      </c>
      <c r="R24" s="123">
        <f t="shared" si="3"/>
        <v>0</v>
      </c>
      <c r="S24" s="123">
        <f t="shared" si="3"/>
        <v>214</v>
      </c>
      <c r="T24" s="123">
        <f t="shared" si="3"/>
        <v>251</v>
      </c>
      <c r="U24" s="123">
        <f t="shared" si="3"/>
        <v>11</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920</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206</v>
      </c>
      <c r="B26" s="309" t="s">
        <v>207</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116</v>
      </c>
      <c r="B27" s="179" t="s">
        <v>208</v>
      </c>
      <c r="C27" s="110"/>
      <c r="D27" s="124"/>
      <c r="E27" s="123"/>
      <c r="F27" s="123"/>
      <c r="G27" s="123"/>
      <c r="H27" s="119"/>
      <c r="I27" s="123"/>
      <c r="J27" s="123"/>
      <c r="K27" s="123">
        <v>28</v>
      </c>
      <c r="L27" s="123"/>
      <c r="M27" s="119"/>
      <c r="N27" s="123">
        <v>151</v>
      </c>
      <c r="O27" s="123">
        <v>22</v>
      </c>
      <c r="P27" s="123"/>
      <c r="Q27" s="123">
        <v>788</v>
      </c>
      <c r="R27" s="123"/>
      <c r="S27" s="123"/>
      <c r="T27" s="123"/>
      <c r="U27" s="123">
        <v>57</v>
      </c>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1046</v>
      </c>
    </row>
    <row r="28" spans="1:43" ht="14.45" customHeight="1" x14ac:dyDescent="0.2">
      <c r="A28" s="109" t="s">
        <v>209</v>
      </c>
      <c r="B28" s="179" t="s">
        <v>210</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5" customHeight="1" x14ac:dyDescent="0.2">
      <c r="A29" s="109" t="s">
        <v>211</v>
      </c>
      <c r="B29" s="179" t="s">
        <v>212</v>
      </c>
      <c r="C29" s="110"/>
      <c r="D29" s="124"/>
      <c r="E29" s="123"/>
      <c r="F29" s="123"/>
      <c r="G29" s="123"/>
      <c r="H29" s="119"/>
      <c r="I29" s="123"/>
      <c r="J29" s="123"/>
      <c r="K29" s="119"/>
      <c r="L29" s="123"/>
      <c r="M29" s="119"/>
      <c r="N29" s="123">
        <v>34615</v>
      </c>
      <c r="O29" s="123"/>
      <c r="P29" s="123"/>
      <c r="Q29" s="123">
        <v>1903</v>
      </c>
      <c r="R29" s="123"/>
      <c r="S29" s="123"/>
      <c r="T29" s="123"/>
      <c r="U29" s="123"/>
      <c r="V29" s="123"/>
      <c r="W29" s="417"/>
      <c r="X29" s="123"/>
      <c r="Y29" s="123"/>
      <c r="Z29" s="123"/>
      <c r="AA29" s="123"/>
      <c r="AB29" s="123"/>
      <c r="AC29" s="123"/>
      <c r="AD29" s="123"/>
      <c r="AE29" s="123"/>
      <c r="AF29" s="417"/>
      <c r="AG29" s="123"/>
      <c r="AH29" s="120"/>
      <c r="AI29" s="110"/>
      <c r="AJ29" s="110"/>
      <c r="AK29" s="124"/>
      <c r="AL29" s="123"/>
      <c r="AM29" s="120"/>
      <c r="AN29" s="124"/>
      <c r="AO29" s="123"/>
      <c r="AP29" s="112">
        <f>SUM(C29:AO29)</f>
        <v>36518</v>
      </c>
    </row>
    <row r="30" spans="1:43" ht="14.45" customHeight="1" x14ac:dyDescent="0.2">
      <c r="A30" s="109" t="s">
        <v>213</v>
      </c>
      <c r="B30" s="179" t="s">
        <v>214</v>
      </c>
      <c r="C30" s="110"/>
      <c r="D30" s="124"/>
      <c r="E30" s="123"/>
      <c r="F30" s="123"/>
      <c r="G30" s="123"/>
      <c r="H30" s="119"/>
      <c r="I30" s="123"/>
      <c r="J30" s="123"/>
      <c r="K30" s="123"/>
      <c r="L30" s="123"/>
      <c r="M30" s="119"/>
      <c r="N30" s="123">
        <v>3884</v>
      </c>
      <c r="O30" s="123">
        <v>188</v>
      </c>
      <c r="P30" s="123"/>
      <c r="Q30" s="123">
        <v>-25</v>
      </c>
      <c r="R30" s="123"/>
      <c r="S30" s="123"/>
      <c r="T30" s="123"/>
      <c r="U30" s="123"/>
      <c r="V30" s="123"/>
      <c r="W30" s="417"/>
      <c r="X30" s="123"/>
      <c r="Y30" s="123">
        <v>567</v>
      </c>
      <c r="Z30" s="123"/>
      <c r="AA30" s="123">
        <v>25</v>
      </c>
      <c r="AB30" s="123"/>
      <c r="AC30" s="123"/>
      <c r="AD30" s="123"/>
      <c r="AE30" s="123"/>
      <c r="AF30" s="417"/>
      <c r="AG30" s="123"/>
      <c r="AH30" s="120"/>
      <c r="AI30" s="110"/>
      <c r="AJ30" s="110"/>
      <c r="AK30" s="124"/>
      <c r="AL30" s="123"/>
      <c r="AM30" s="120"/>
      <c r="AN30" s="124"/>
      <c r="AO30" s="123"/>
      <c r="AP30" s="112">
        <f>SUM(C30:AO30)</f>
        <v>4639</v>
      </c>
    </row>
    <row r="31" spans="1:43" ht="14.45" customHeight="1" x14ac:dyDescent="0.2">
      <c r="A31" s="544" t="s">
        <v>215</v>
      </c>
      <c r="B31" s="545"/>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28</v>
      </c>
      <c r="L31" s="130">
        <f t="shared" si="4"/>
        <v>0</v>
      </c>
      <c r="M31" s="110">
        <f t="shared" si="4"/>
        <v>0</v>
      </c>
      <c r="N31" s="130">
        <f t="shared" si="4"/>
        <v>38650</v>
      </c>
      <c r="O31" s="130">
        <f t="shared" si="4"/>
        <v>210</v>
      </c>
      <c r="P31" s="130">
        <f t="shared" si="4"/>
        <v>0</v>
      </c>
      <c r="Q31" s="130">
        <f t="shared" si="4"/>
        <v>2666</v>
      </c>
      <c r="R31" s="130">
        <f t="shared" si="4"/>
        <v>0</v>
      </c>
      <c r="S31" s="130">
        <f t="shared" si="4"/>
        <v>0</v>
      </c>
      <c r="T31" s="130">
        <f t="shared" si="4"/>
        <v>0</v>
      </c>
      <c r="U31" s="130">
        <f t="shared" si="4"/>
        <v>57</v>
      </c>
      <c r="V31" s="130">
        <f t="shared" si="4"/>
        <v>0</v>
      </c>
      <c r="W31" s="130">
        <f t="shared" si="4"/>
        <v>0</v>
      </c>
      <c r="X31" s="130">
        <f t="shared" si="4"/>
        <v>0</v>
      </c>
      <c r="Y31" s="130">
        <f t="shared" si="4"/>
        <v>567</v>
      </c>
      <c r="Z31" s="130">
        <f t="shared" si="4"/>
        <v>0</v>
      </c>
      <c r="AA31" s="130">
        <f t="shared" si="4"/>
        <v>25</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42203</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216</v>
      </c>
      <c r="B33" s="309" t="s">
        <v>487</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117</v>
      </c>
      <c r="B34" s="179" t="s">
        <v>217</v>
      </c>
      <c r="C34" s="110"/>
      <c r="D34" s="124"/>
      <c r="E34" s="123"/>
      <c r="F34" s="123"/>
      <c r="G34" s="123"/>
      <c r="H34" s="119"/>
      <c r="I34" s="123"/>
      <c r="J34" s="123"/>
      <c r="K34" s="119"/>
      <c r="L34" s="123"/>
      <c r="M34" s="119"/>
      <c r="N34" s="123">
        <v>5449</v>
      </c>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5449</v>
      </c>
    </row>
    <row r="35" spans="1:43" ht="14.45" customHeight="1" x14ac:dyDescent="0.2">
      <c r="A35" s="109" t="s">
        <v>118</v>
      </c>
      <c r="B35" s="179" t="s">
        <v>218</v>
      </c>
      <c r="C35" s="110"/>
      <c r="D35" s="124"/>
      <c r="E35" s="123"/>
      <c r="F35" s="123"/>
      <c r="G35" s="123">
        <v>61</v>
      </c>
      <c r="H35" s="119"/>
      <c r="I35" s="123"/>
      <c r="J35" s="123"/>
      <c r="K35" s="119"/>
      <c r="L35" s="123"/>
      <c r="M35" s="119"/>
      <c r="N35" s="123">
        <v>3035</v>
      </c>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3096</v>
      </c>
    </row>
    <row r="36" spans="1:43" ht="14.45" customHeight="1" x14ac:dyDescent="0.2">
      <c r="A36" s="109" t="s">
        <v>119</v>
      </c>
      <c r="B36" s="179" t="s">
        <v>219</v>
      </c>
      <c r="C36" s="121">
        <v>1267</v>
      </c>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1267</v>
      </c>
    </row>
    <row r="37" spans="1:43" ht="14.45" customHeight="1" x14ac:dyDescent="0.2">
      <c r="A37" s="109" t="s">
        <v>220</v>
      </c>
      <c r="B37" s="179" t="s">
        <v>221</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5" customHeight="1" x14ac:dyDescent="0.2">
      <c r="A38" s="109" t="s">
        <v>222</v>
      </c>
      <c r="B38" s="179" t="s">
        <v>223</v>
      </c>
      <c r="C38" s="121"/>
      <c r="D38" s="124"/>
      <c r="E38" s="123"/>
      <c r="F38" s="123"/>
      <c r="G38" s="123"/>
      <c r="H38" s="119"/>
      <c r="I38" s="123"/>
      <c r="J38" s="123"/>
      <c r="K38" s="123"/>
      <c r="L38" s="123"/>
      <c r="M38" s="119"/>
      <c r="N38" s="123">
        <v>-209</v>
      </c>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-209</v>
      </c>
    </row>
    <row r="39" spans="1:43" ht="14.45" customHeight="1" x14ac:dyDescent="0.2">
      <c r="A39" s="109" t="s">
        <v>224</v>
      </c>
      <c r="B39" s="179" t="s">
        <v>225</v>
      </c>
      <c r="C39" s="110"/>
      <c r="D39" s="124"/>
      <c r="E39" s="123"/>
      <c r="F39" s="123"/>
      <c r="G39" s="123"/>
      <c r="H39" s="119"/>
      <c r="I39" s="123"/>
      <c r="J39" s="123"/>
      <c r="K39" s="119"/>
      <c r="L39" s="123"/>
      <c r="M39" s="119"/>
      <c r="N39" s="123">
        <v>5158</v>
      </c>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5158</v>
      </c>
    </row>
    <row r="40" spans="1:43" ht="14.45" customHeight="1" x14ac:dyDescent="0.2">
      <c r="A40" s="544" t="s">
        <v>226</v>
      </c>
      <c r="B40" s="545"/>
      <c r="C40" s="307">
        <f>SUM(C34:C39)</f>
        <v>1267</v>
      </c>
      <c r="D40" s="124">
        <f t="shared" ref="D40:AO40" si="6">SUM(D34:D39)</f>
        <v>0</v>
      </c>
      <c r="E40" s="130">
        <f t="shared" si="6"/>
        <v>0</v>
      </c>
      <c r="F40" s="130">
        <f t="shared" si="6"/>
        <v>0</v>
      </c>
      <c r="G40" s="130">
        <f t="shared" si="6"/>
        <v>61</v>
      </c>
      <c r="H40" s="119">
        <f t="shared" si="6"/>
        <v>0</v>
      </c>
      <c r="I40" s="130">
        <f t="shared" si="6"/>
        <v>0</v>
      </c>
      <c r="J40" s="130">
        <f t="shared" si="6"/>
        <v>0</v>
      </c>
      <c r="K40" s="130">
        <f t="shared" si="6"/>
        <v>0</v>
      </c>
      <c r="L40" s="130">
        <f t="shared" si="6"/>
        <v>0</v>
      </c>
      <c r="M40" s="110">
        <f t="shared" si="6"/>
        <v>0</v>
      </c>
      <c r="N40" s="130">
        <f t="shared" si="6"/>
        <v>13433</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14761</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227</v>
      </c>
      <c r="B42" s="309" t="s">
        <v>228</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229</v>
      </c>
      <c r="B43" s="179" t="s">
        <v>230</v>
      </c>
      <c r="C43" s="121">
        <v>4912</v>
      </c>
      <c r="D43" s="124"/>
      <c r="E43" s="123"/>
      <c r="F43" s="123"/>
      <c r="G43" s="123"/>
      <c r="H43" s="119"/>
      <c r="I43" s="123"/>
      <c r="J43" s="123"/>
      <c r="K43" s="123"/>
      <c r="L43" s="123"/>
      <c r="M43" s="119"/>
      <c r="N43" s="123">
        <v>2389</v>
      </c>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7301</v>
      </c>
    </row>
    <row r="44" spans="1:43" ht="14.45" customHeight="1" x14ac:dyDescent="0.2">
      <c r="A44" s="109" t="s">
        <v>124</v>
      </c>
      <c r="B44" s="179" t="s">
        <v>231</v>
      </c>
      <c r="C44" s="110"/>
      <c r="D44" s="124"/>
      <c r="E44" s="123"/>
      <c r="F44" s="123"/>
      <c r="G44" s="123"/>
      <c r="H44" s="119"/>
      <c r="I44" s="123"/>
      <c r="J44" s="123"/>
      <c r="K44" s="119"/>
      <c r="L44" s="123"/>
      <c r="M44" s="119"/>
      <c r="N44" s="123">
        <v>52</v>
      </c>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52</v>
      </c>
    </row>
    <row r="45" spans="1:43" ht="14.45" customHeight="1" x14ac:dyDescent="0.2">
      <c r="A45" s="109" t="s">
        <v>232</v>
      </c>
      <c r="B45" s="179" t="s">
        <v>233</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5" customHeight="1" x14ac:dyDescent="0.2">
      <c r="A46" s="109" t="s">
        <v>234</v>
      </c>
      <c r="B46" s="179" t="s">
        <v>235</v>
      </c>
      <c r="C46" s="110"/>
      <c r="D46" s="124"/>
      <c r="E46" s="123"/>
      <c r="F46" s="123"/>
      <c r="G46" s="123"/>
      <c r="H46" s="119"/>
      <c r="I46" s="123"/>
      <c r="J46" s="123"/>
      <c r="K46" s="123">
        <v>1114</v>
      </c>
      <c r="L46" s="123"/>
      <c r="M46" s="119"/>
      <c r="N46" s="123"/>
      <c r="O46" s="123"/>
      <c r="P46" s="123"/>
      <c r="Q46" s="123"/>
      <c r="R46" s="123"/>
      <c r="S46" s="123"/>
      <c r="T46" s="123"/>
      <c r="U46" s="123">
        <v>7</v>
      </c>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1121</v>
      </c>
    </row>
    <row r="47" spans="1:43" ht="14.45" customHeight="1" x14ac:dyDescent="0.2">
      <c r="A47" s="109" t="s">
        <v>236</v>
      </c>
      <c r="B47" s="179" t="s">
        <v>237</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5" customHeight="1" x14ac:dyDescent="0.2">
      <c r="A48" s="109" t="s">
        <v>238</v>
      </c>
      <c r="B48" s="179" t="s">
        <v>239</v>
      </c>
      <c r="C48" s="110"/>
      <c r="D48" s="124"/>
      <c r="E48" s="123"/>
      <c r="F48" s="123"/>
      <c r="G48" s="123"/>
      <c r="H48" s="119"/>
      <c r="I48" s="123"/>
      <c r="J48" s="123"/>
      <c r="K48" s="119"/>
      <c r="L48" s="123"/>
      <c r="M48" s="119"/>
      <c r="N48" s="123">
        <v>5145</v>
      </c>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5145</v>
      </c>
    </row>
    <row r="49" spans="1:43" ht="14.45" customHeight="1" x14ac:dyDescent="0.2">
      <c r="A49" s="109" t="s">
        <v>240</v>
      </c>
      <c r="B49" s="179" t="s">
        <v>241</v>
      </c>
      <c r="C49" s="110"/>
      <c r="D49" s="124"/>
      <c r="E49" s="123"/>
      <c r="F49" s="123"/>
      <c r="G49" s="123"/>
      <c r="H49" s="119"/>
      <c r="I49" s="123"/>
      <c r="J49" s="123"/>
      <c r="K49" s="119"/>
      <c r="L49" s="123"/>
      <c r="M49" s="119"/>
      <c r="N49" s="123"/>
      <c r="O49" s="123"/>
      <c r="P49" s="123"/>
      <c r="Q49" s="123"/>
      <c r="R49" s="123"/>
      <c r="S49" s="123"/>
      <c r="T49" s="123"/>
      <c r="U49" s="123">
        <v>27</v>
      </c>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27</v>
      </c>
    </row>
    <row r="50" spans="1:43" ht="14.45" customHeight="1" x14ac:dyDescent="0.2">
      <c r="A50" s="544" t="s">
        <v>242</v>
      </c>
      <c r="B50" s="545"/>
      <c r="C50" s="121">
        <f>SUM(C43:C49)</f>
        <v>4912</v>
      </c>
      <c r="D50" s="124">
        <f t="shared" ref="D50:AO50" si="8">SUM(D43:D49)</f>
        <v>0</v>
      </c>
      <c r="E50" s="130">
        <f t="shared" si="8"/>
        <v>0</v>
      </c>
      <c r="F50" s="130">
        <f t="shared" si="8"/>
        <v>0</v>
      </c>
      <c r="G50" s="130">
        <f t="shared" si="8"/>
        <v>0</v>
      </c>
      <c r="H50" s="119">
        <f t="shared" si="8"/>
        <v>0</v>
      </c>
      <c r="I50" s="130">
        <f t="shared" si="8"/>
        <v>0</v>
      </c>
      <c r="J50" s="130">
        <f t="shared" si="8"/>
        <v>0</v>
      </c>
      <c r="K50" s="130">
        <f t="shared" si="8"/>
        <v>1114</v>
      </c>
      <c r="L50" s="130">
        <f t="shared" si="8"/>
        <v>0</v>
      </c>
      <c r="M50" s="110">
        <f t="shared" si="8"/>
        <v>0</v>
      </c>
      <c r="N50" s="130">
        <f t="shared" si="8"/>
        <v>7586</v>
      </c>
      <c r="O50" s="130">
        <f t="shared" si="8"/>
        <v>0</v>
      </c>
      <c r="P50" s="130">
        <f t="shared" si="8"/>
        <v>0</v>
      </c>
      <c r="Q50" s="130">
        <f t="shared" si="8"/>
        <v>0</v>
      </c>
      <c r="R50" s="130">
        <f t="shared" si="8"/>
        <v>0</v>
      </c>
      <c r="S50" s="130">
        <f t="shared" si="8"/>
        <v>0</v>
      </c>
      <c r="T50" s="130">
        <f t="shared" si="8"/>
        <v>0</v>
      </c>
      <c r="U50" s="130">
        <f t="shared" si="8"/>
        <v>34</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13646</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243</v>
      </c>
      <c r="B52" s="309" t="s">
        <v>244</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135</v>
      </c>
      <c r="B53" s="179" t="s">
        <v>245</v>
      </c>
      <c r="C53" s="110"/>
      <c r="D53" s="124"/>
      <c r="E53" s="123"/>
      <c r="F53" s="123"/>
      <c r="G53" s="123"/>
      <c r="H53" s="119"/>
      <c r="I53" s="123"/>
      <c r="J53" s="123"/>
      <c r="K53" s="119"/>
      <c r="L53" s="123">
        <v>4</v>
      </c>
      <c r="M53" s="119"/>
      <c r="N53" s="123">
        <v>1176</v>
      </c>
      <c r="O53" s="123"/>
      <c r="P53" s="123"/>
      <c r="Q53" s="123"/>
      <c r="R53" s="123"/>
      <c r="S53" s="123"/>
      <c r="T53" s="123"/>
      <c r="U53" s="123">
        <v>1</v>
      </c>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1181</v>
      </c>
    </row>
    <row r="54" spans="1:43" ht="14.45" customHeight="1" x14ac:dyDescent="0.2">
      <c r="A54" s="109" t="s">
        <v>246</v>
      </c>
      <c r="B54" s="179" t="s">
        <v>247</v>
      </c>
      <c r="C54" s="110"/>
      <c r="D54" s="124"/>
      <c r="E54" s="123"/>
      <c r="F54" s="123"/>
      <c r="G54" s="123"/>
      <c r="H54" s="119"/>
      <c r="I54" s="123"/>
      <c r="J54" s="123"/>
      <c r="K54" s="123"/>
      <c r="L54" s="123"/>
      <c r="M54" s="119"/>
      <c r="N54" s="123">
        <v>15795</v>
      </c>
      <c r="O54" s="123"/>
      <c r="P54" s="123"/>
      <c r="Q54" s="123">
        <v>10</v>
      </c>
      <c r="R54" s="123"/>
      <c r="S54" s="123"/>
      <c r="T54" s="123"/>
      <c r="U54" s="123">
        <v>40</v>
      </c>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15845</v>
      </c>
    </row>
    <row r="55" spans="1:43" ht="14.45" customHeight="1" x14ac:dyDescent="0.2">
      <c r="A55" s="109" t="s">
        <v>248</v>
      </c>
      <c r="B55" s="179" t="s">
        <v>249</v>
      </c>
      <c r="C55" s="110"/>
      <c r="D55" s="124"/>
      <c r="E55" s="123"/>
      <c r="F55" s="123"/>
      <c r="G55" s="123"/>
      <c r="H55" s="119"/>
      <c r="I55" s="123"/>
      <c r="J55" s="123"/>
      <c r="K55" s="123"/>
      <c r="L55" s="123"/>
      <c r="M55" s="119"/>
      <c r="N55" s="123">
        <v>1064</v>
      </c>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1064</v>
      </c>
    </row>
    <row r="56" spans="1:43" ht="14.45" customHeight="1" x14ac:dyDescent="0.2">
      <c r="A56" s="109" t="s">
        <v>250</v>
      </c>
      <c r="B56" s="179" t="s">
        <v>251</v>
      </c>
      <c r="C56" s="110"/>
      <c r="D56" s="124"/>
      <c r="E56" s="123"/>
      <c r="F56" s="123"/>
      <c r="G56" s="123"/>
      <c r="H56" s="119"/>
      <c r="I56" s="123"/>
      <c r="J56" s="123"/>
      <c r="K56" s="119"/>
      <c r="L56" s="123"/>
      <c r="M56" s="119"/>
      <c r="N56" s="123">
        <v>-4</v>
      </c>
      <c r="O56" s="123"/>
      <c r="P56" s="123"/>
      <c r="Q56" s="123">
        <v>148</v>
      </c>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144</v>
      </c>
    </row>
    <row r="57" spans="1:43" ht="14.45" customHeight="1" x14ac:dyDescent="0.2">
      <c r="A57" s="544" t="s">
        <v>252</v>
      </c>
      <c r="B57" s="545"/>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4</v>
      </c>
      <c r="M57" s="110">
        <f t="shared" si="9"/>
        <v>0</v>
      </c>
      <c r="N57" s="130">
        <f t="shared" si="9"/>
        <v>18031</v>
      </c>
      <c r="O57" s="130">
        <f t="shared" si="9"/>
        <v>0</v>
      </c>
      <c r="P57" s="130">
        <f t="shared" si="9"/>
        <v>0</v>
      </c>
      <c r="Q57" s="130">
        <f t="shared" si="9"/>
        <v>158</v>
      </c>
      <c r="R57" s="130">
        <f t="shared" si="9"/>
        <v>0</v>
      </c>
      <c r="S57" s="130">
        <f t="shared" si="9"/>
        <v>0</v>
      </c>
      <c r="T57" s="130">
        <f t="shared" si="9"/>
        <v>0</v>
      </c>
      <c r="U57" s="130">
        <f t="shared" si="9"/>
        <v>41</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18234</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253</v>
      </c>
      <c r="B59" s="310" t="s">
        <v>254</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136</v>
      </c>
      <c r="B60" s="179" t="s">
        <v>255</v>
      </c>
      <c r="C60" s="110"/>
      <c r="D60" s="124"/>
      <c r="E60" s="123"/>
      <c r="F60" s="123"/>
      <c r="G60" s="123"/>
      <c r="H60" s="119"/>
      <c r="I60" s="123"/>
      <c r="J60" s="123"/>
      <c r="K60" s="119"/>
      <c r="L60" s="123"/>
      <c r="M60" s="119"/>
      <c r="N60" s="123">
        <v>2185</v>
      </c>
      <c r="O60" s="123">
        <v>1067</v>
      </c>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3252</v>
      </c>
    </row>
    <row r="61" spans="1:43" ht="14.45" customHeight="1" x14ac:dyDescent="0.2">
      <c r="A61" s="109" t="s">
        <v>256</v>
      </c>
      <c r="B61" s="179" t="s">
        <v>257</v>
      </c>
      <c r="C61" s="110"/>
      <c r="D61" s="124"/>
      <c r="E61" s="123"/>
      <c r="F61" s="123"/>
      <c r="G61" s="123"/>
      <c r="H61" s="119"/>
      <c r="I61" s="123"/>
      <c r="J61" s="123">
        <v>589</v>
      </c>
      <c r="K61" s="119"/>
      <c r="L61" s="123">
        <v>61</v>
      </c>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650</v>
      </c>
    </row>
    <row r="62" spans="1:43" ht="14.45" customHeight="1" x14ac:dyDescent="0.2">
      <c r="A62" s="109" t="s">
        <v>258</v>
      </c>
      <c r="B62" s="179" t="s">
        <v>259</v>
      </c>
      <c r="C62" s="110"/>
      <c r="D62" s="124"/>
      <c r="E62" s="123"/>
      <c r="F62" s="123"/>
      <c r="G62" s="123"/>
      <c r="H62" s="119"/>
      <c r="I62" s="123"/>
      <c r="J62" s="123"/>
      <c r="K62" s="119"/>
      <c r="L62" s="123">
        <v>8</v>
      </c>
      <c r="M62" s="119"/>
      <c r="N62" s="123"/>
      <c r="O62" s="123"/>
      <c r="P62" s="123"/>
      <c r="Q62" s="123"/>
      <c r="R62" s="123"/>
      <c r="S62" s="123">
        <v>34</v>
      </c>
      <c r="T62" s="123">
        <v>53</v>
      </c>
      <c r="U62" s="123">
        <v>287</v>
      </c>
      <c r="V62" s="123"/>
      <c r="W62" s="417"/>
      <c r="X62" s="123"/>
      <c r="Y62" s="123"/>
      <c r="Z62" s="123"/>
      <c r="AA62" s="123"/>
      <c r="AB62" s="123"/>
      <c r="AC62" s="123"/>
      <c r="AD62" s="123"/>
      <c r="AE62" s="123"/>
      <c r="AF62" s="417"/>
      <c r="AG62" s="123"/>
      <c r="AH62" s="120"/>
      <c r="AI62" s="110"/>
      <c r="AJ62" s="110"/>
      <c r="AK62" s="124"/>
      <c r="AL62" s="123">
        <v>4560</v>
      </c>
      <c r="AM62" s="120"/>
      <c r="AN62" s="124"/>
      <c r="AO62" s="123"/>
      <c r="AP62" s="112">
        <f t="shared" si="10"/>
        <v>4942</v>
      </c>
    </row>
    <row r="63" spans="1:43" ht="14.45" customHeight="1" x14ac:dyDescent="0.2">
      <c r="A63" s="109" t="s">
        <v>260</v>
      </c>
      <c r="B63" s="179" t="s">
        <v>261</v>
      </c>
      <c r="C63" s="110"/>
      <c r="D63" s="124"/>
      <c r="E63" s="123"/>
      <c r="F63" s="123"/>
      <c r="G63" s="123"/>
      <c r="H63" s="119"/>
      <c r="I63" s="123"/>
      <c r="J63" s="123">
        <v>31</v>
      </c>
      <c r="K63" s="119"/>
      <c r="L63" s="123"/>
      <c r="M63" s="119"/>
      <c r="N63" s="123"/>
      <c r="O63" s="123">
        <v>230</v>
      </c>
      <c r="P63" s="123"/>
      <c r="Q63" s="123"/>
      <c r="R63" s="123"/>
      <c r="S63" s="123"/>
      <c r="T63" s="123"/>
      <c r="U63" s="123">
        <v>259</v>
      </c>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520</v>
      </c>
    </row>
    <row r="64" spans="1:43" ht="14.45" customHeight="1" x14ac:dyDescent="0.2">
      <c r="A64" s="109" t="s">
        <v>262</v>
      </c>
      <c r="B64" s="179" t="s">
        <v>263</v>
      </c>
      <c r="C64" s="110"/>
      <c r="D64" s="124"/>
      <c r="E64" s="123"/>
      <c r="F64" s="123"/>
      <c r="G64" s="123"/>
      <c r="H64" s="119"/>
      <c r="I64" s="123"/>
      <c r="J64" s="123"/>
      <c r="K64" s="119"/>
      <c r="L64" s="123"/>
      <c r="M64" s="119"/>
      <c r="N64" s="123">
        <v>558</v>
      </c>
      <c r="O64" s="123"/>
      <c r="P64" s="123"/>
      <c r="Q64" s="123"/>
      <c r="R64" s="123"/>
      <c r="S64" s="123"/>
      <c r="T64" s="123"/>
      <c r="U64" s="123"/>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558</v>
      </c>
    </row>
    <row r="65" spans="1:43" ht="14.45" customHeight="1" x14ac:dyDescent="0.2">
      <c r="A65" s="544" t="s">
        <v>264</v>
      </c>
      <c r="B65" s="545"/>
      <c r="C65" s="110">
        <f>SUM(C60:C64)</f>
        <v>0</v>
      </c>
      <c r="D65" s="124">
        <f t="shared" ref="D65:AO65" si="11">SUM(D60:D64)</f>
        <v>0</v>
      </c>
      <c r="E65" s="123">
        <f t="shared" si="11"/>
        <v>0</v>
      </c>
      <c r="F65" s="123">
        <f t="shared" si="11"/>
        <v>0</v>
      </c>
      <c r="G65" s="123">
        <f t="shared" si="11"/>
        <v>0</v>
      </c>
      <c r="H65" s="119">
        <f t="shared" si="11"/>
        <v>0</v>
      </c>
      <c r="I65" s="123">
        <f t="shared" si="11"/>
        <v>0</v>
      </c>
      <c r="J65" s="123">
        <f t="shared" si="11"/>
        <v>620</v>
      </c>
      <c r="K65" s="119">
        <f t="shared" si="11"/>
        <v>0</v>
      </c>
      <c r="L65" s="123">
        <f t="shared" si="11"/>
        <v>69</v>
      </c>
      <c r="M65" s="119">
        <f t="shared" si="11"/>
        <v>0</v>
      </c>
      <c r="N65" s="123">
        <f t="shared" si="11"/>
        <v>2743</v>
      </c>
      <c r="O65" s="123">
        <f t="shared" si="11"/>
        <v>1297</v>
      </c>
      <c r="P65" s="123">
        <f t="shared" si="11"/>
        <v>0</v>
      </c>
      <c r="Q65" s="123">
        <f t="shared" si="11"/>
        <v>0</v>
      </c>
      <c r="R65" s="123">
        <f t="shared" si="11"/>
        <v>0</v>
      </c>
      <c r="S65" s="123">
        <f t="shared" si="11"/>
        <v>34</v>
      </c>
      <c r="T65" s="123">
        <f t="shared" si="11"/>
        <v>53</v>
      </c>
      <c r="U65" s="123">
        <f t="shared" si="11"/>
        <v>546</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4560</v>
      </c>
      <c r="AM65" s="120">
        <f t="shared" si="11"/>
        <v>0</v>
      </c>
      <c r="AN65" s="124">
        <f t="shared" si="11"/>
        <v>0</v>
      </c>
      <c r="AO65" s="123">
        <f t="shared" si="11"/>
        <v>0</v>
      </c>
      <c r="AP65" s="176">
        <f t="shared" si="10"/>
        <v>9922</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265</v>
      </c>
      <c r="B67" s="310" t="s">
        <v>266</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137</v>
      </c>
      <c r="B68" s="179" t="s">
        <v>267</v>
      </c>
      <c r="C68" s="110"/>
      <c r="D68" s="124"/>
      <c r="E68" s="123"/>
      <c r="F68" s="123"/>
      <c r="G68" s="123"/>
      <c r="H68" s="119"/>
      <c r="I68" s="123"/>
      <c r="J68" s="123">
        <v>3737</v>
      </c>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3737</v>
      </c>
    </row>
    <row r="69" spans="1:43" ht="14.45" customHeight="1" x14ac:dyDescent="0.2">
      <c r="A69" s="109" t="s">
        <v>138</v>
      </c>
      <c r="B69" s="179" t="s">
        <v>268</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5" customHeight="1" x14ac:dyDescent="0.2">
      <c r="A70" s="109" t="s">
        <v>269</v>
      </c>
      <c r="B70" s="179" t="s">
        <v>270</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5" customHeight="1" x14ac:dyDescent="0.2">
      <c r="A71" s="544" t="s">
        <v>271</v>
      </c>
      <c r="B71" s="545"/>
      <c r="C71" s="110">
        <f>SUM(C68:C70)</f>
        <v>0</v>
      </c>
      <c r="D71" s="124">
        <f t="shared" ref="D71:AO71" si="12">SUM(D68:D70)</f>
        <v>0</v>
      </c>
      <c r="E71" s="130">
        <f t="shared" si="12"/>
        <v>0</v>
      </c>
      <c r="F71" s="130">
        <f t="shared" si="12"/>
        <v>0</v>
      </c>
      <c r="G71" s="130">
        <f t="shared" si="12"/>
        <v>0</v>
      </c>
      <c r="H71" s="119">
        <f t="shared" si="12"/>
        <v>0</v>
      </c>
      <c r="I71" s="130">
        <f t="shared" si="12"/>
        <v>0</v>
      </c>
      <c r="J71" s="130">
        <f t="shared" si="12"/>
        <v>3737</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3737</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272</v>
      </c>
      <c r="B73" s="310" t="s">
        <v>273</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274</v>
      </c>
      <c r="B74" s="179" t="s">
        <v>698</v>
      </c>
      <c r="C74" s="110"/>
      <c r="D74" s="124"/>
      <c r="E74" s="123"/>
      <c r="F74" s="123"/>
      <c r="G74" s="123">
        <v>220</v>
      </c>
      <c r="H74" s="119"/>
      <c r="I74" s="123"/>
      <c r="J74" s="123">
        <v>512</v>
      </c>
      <c r="K74" s="119">
        <v>1</v>
      </c>
      <c r="L74" s="123"/>
      <c r="M74" s="119"/>
      <c r="N74" s="123">
        <v>395</v>
      </c>
      <c r="O74" s="123"/>
      <c r="P74" s="123"/>
      <c r="Q74" s="123">
        <v>34</v>
      </c>
      <c r="R74" s="123"/>
      <c r="S74" s="123"/>
      <c r="T74" s="123"/>
      <c r="U74" s="123">
        <v>53</v>
      </c>
      <c r="V74" s="123"/>
      <c r="W74" s="417"/>
      <c r="X74" s="123"/>
      <c r="Y74" s="123"/>
      <c r="Z74" s="123"/>
      <c r="AA74" s="123"/>
      <c r="AB74" s="123"/>
      <c r="AC74" s="123"/>
      <c r="AD74" s="123"/>
      <c r="AE74" s="123"/>
      <c r="AF74" s="417"/>
      <c r="AG74" s="123"/>
      <c r="AH74" s="120">
        <v>131</v>
      </c>
      <c r="AI74" s="110"/>
      <c r="AJ74" s="110"/>
      <c r="AK74" s="124"/>
      <c r="AL74" s="123"/>
      <c r="AM74" s="120"/>
      <c r="AN74" s="124"/>
      <c r="AO74" s="123"/>
      <c r="AP74" s="112">
        <f>SUM(C74:AO74)</f>
        <v>1346</v>
      </c>
    </row>
    <row r="75" spans="1:43" ht="14.45" customHeight="1" x14ac:dyDescent="0.2">
      <c r="A75" s="109" t="s">
        <v>275</v>
      </c>
      <c r="B75" s="179" t="s">
        <v>276</v>
      </c>
      <c r="C75" s="110"/>
      <c r="D75" s="124"/>
      <c r="E75" s="123"/>
      <c r="F75" s="123"/>
      <c r="G75" s="123"/>
      <c r="H75" s="119"/>
      <c r="I75" s="123"/>
      <c r="J75" s="123"/>
      <c r="K75" s="119"/>
      <c r="L75" s="123"/>
      <c r="M75" s="119"/>
      <c r="N75" s="123">
        <v>1816</v>
      </c>
      <c r="O75" s="123">
        <v>180</v>
      </c>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1996</v>
      </c>
    </row>
    <row r="76" spans="1:43" ht="14.45" customHeight="1" x14ac:dyDescent="0.2">
      <c r="A76" s="109" t="s">
        <v>277</v>
      </c>
      <c r="B76" s="179" t="s">
        <v>278</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5" customHeight="1" x14ac:dyDescent="0.2">
      <c r="A77" s="109" t="s">
        <v>279</v>
      </c>
      <c r="B77" s="179" t="s">
        <v>280</v>
      </c>
      <c r="C77" s="110"/>
      <c r="D77" s="124"/>
      <c r="E77" s="123">
        <v>105</v>
      </c>
      <c r="F77" s="123"/>
      <c r="G77" s="123">
        <v>1802</v>
      </c>
      <c r="H77" s="119"/>
      <c r="I77" s="123"/>
      <c r="J77" s="123"/>
      <c r="K77" s="119"/>
      <c r="L77" s="123"/>
      <c r="M77" s="119"/>
      <c r="N77" s="123">
        <v>-290</v>
      </c>
      <c r="O77" s="123"/>
      <c r="P77" s="123"/>
      <c r="Q77" s="123"/>
      <c r="R77" s="123"/>
      <c r="S77" s="123"/>
      <c r="T77" s="123"/>
      <c r="U77" s="123">
        <v>5</v>
      </c>
      <c r="V77" s="123"/>
      <c r="W77" s="417"/>
      <c r="X77" s="123"/>
      <c r="Y77" s="123"/>
      <c r="Z77" s="123"/>
      <c r="AA77" s="123"/>
      <c r="AB77" s="123"/>
      <c r="AC77" s="123"/>
      <c r="AD77" s="123"/>
      <c r="AE77" s="123"/>
      <c r="AF77" s="417"/>
      <c r="AG77" s="123"/>
      <c r="AH77" s="120">
        <v>-131</v>
      </c>
      <c r="AI77" s="110"/>
      <c r="AJ77" s="110"/>
      <c r="AK77" s="124"/>
      <c r="AL77" s="123">
        <v>436</v>
      </c>
      <c r="AM77" s="120"/>
      <c r="AN77" s="124"/>
      <c r="AO77" s="123">
        <v>-46</v>
      </c>
      <c r="AP77" s="112">
        <f>SUM(C77:AO77)</f>
        <v>1881</v>
      </c>
    </row>
    <row r="78" spans="1:43" ht="14.45" customHeight="1" x14ac:dyDescent="0.2">
      <c r="A78" s="544" t="s">
        <v>281</v>
      </c>
      <c r="B78" s="545"/>
      <c r="C78" s="110">
        <f>SUM(C74:C77)</f>
        <v>0</v>
      </c>
      <c r="D78" s="124">
        <f t="shared" ref="D78:AO78" si="13">SUM(D74:D77)</f>
        <v>0</v>
      </c>
      <c r="E78" s="130">
        <f t="shared" si="13"/>
        <v>105</v>
      </c>
      <c r="F78" s="130">
        <f t="shared" si="13"/>
        <v>0</v>
      </c>
      <c r="G78" s="130">
        <f t="shared" si="13"/>
        <v>2022</v>
      </c>
      <c r="H78" s="119">
        <f t="shared" si="13"/>
        <v>0</v>
      </c>
      <c r="I78" s="130">
        <f t="shared" si="13"/>
        <v>0</v>
      </c>
      <c r="J78" s="130">
        <f t="shared" si="13"/>
        <v>512</v>
      </c>
      <c r="K78" s="119">
        <f t="shared" si="13"/>
        <v>1</v>
      </c>
      <c r="L78" s="130">
        <f t="shared" si="13"/>
        <v>0</v>
      </c>
      <c r="M78" s="110">
        <f t="shared" si="13"/>
        <v>0</v>
      </c>
      <c r="N78" s="130">
        <f t="shared" si="13"/>
        <v>1921</v>
      </c>
      <c r="O78" s="130">
        <f t="shared" si="13"/>
        <v>180</v>
      </c>
      <c r="P78" s="130">
        <f t="shared" si="13"/>
        <v>0</v>
      </c>
      <c r="Q78" s="130">
        <f t="shared" si="13"/>
        <v>34</v>
      </c>
      <c r="R78" s="130">
        <f t="shared" si="13"/>
        <v>0</v>
      </c>
      <c r="S78" s="130">
        <f t="shared" si="13"/>
        <v>0</v>
      </c>
      <c r="T78" s="130">
        <f t="shared" si="13"/>
        <v>0</v>
      </c>
      <c r="U78" s="130">
        <f t="shared" si="13"/>
        <v>58</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436</v>
      </c>
      <c r="AM78" s="120">
        <f t="shared" si="13"/>
        <v>0</v>
      </c>
      <c r="AN78" s="124">
        <f t="shared" si="13"/>
        <v>0</v>
      </c>
      <c r="AO78" s="130">
        <f t="shared" si="13"/>
        <v>-46</v>
      </c>
      <c r="AP78" s="175">
        <f>SUM(C78:AO78)</f>
        <v>5223</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2" t="s">
        <v>282</v>
      </c>
      <c r="B80" s="553"/>
      <c r="C80" s="312">
        <f>SUM(C14,C24,C31,C40,C50,C57,C65,C71,C78)</f>
        <v>6179</v>
      </c>
      <c r="D80" s="147">
        <f t="shared" ref="D80:AO80" si="14">SUM(D14,D24,D31,D40,D50,D57,D65,D71,D78)</f>
        <v>125820</v>
      </c>
      <c r="E80" s="147">
        <f t="shared" si="14"/>
        <v>117</v>
      </c>
      <c r="F80" s="147">
        <f t="shared" si="14"/>
        <v>0</v>
      </c>
      <c r="G80" s="147">
        <f t="shared" si="14"/>
        <v>2082</v>
      </c>
      <c r="H80" s="147">
        <f t="shared" si="14"/>
        <v>0</v>
      </c>
      <c r="I80" s="147">
        <f t="shared" si="14"/>
        <v>3</v>
      </c>
      <c r="J80" s="147">
        <f t="shared" si="14"/>
        <v>5316</v>
      </c>
      <c r="K80" s="147">
        <f t="shared" si="14"/>
        <v>1143</v>
      </c>
      <c r="L80" s="147">
        <f t="shared" si="14"/>
        <v>911</v>
      </c>
      <c r="M80" s="147">
        <f t="shared" si="14"/>
        <v>0</v>
      </c>
      <c r="N80" s="147">
        <f t="shared" si="14"/>
        <v>400899</v>
      </c>
      <c r="O80" s="147">
        <f t="shared" si="14"/>
        <v>1687</v>
      </c>
      <c r="P80" s="147">
        <f t="shared" si="14"/>
        <v>0</v>
      </c>
      <c r="Q80" s="147">
        <f t="shared" si="14"/>
        <v>2858</v>
      </c>
      <c r="R80" s="147">
        <f t="shared" si="14"/>
        <v>0</v>
      </c>
      <c r="S80" s="147">
        <f t="shared" si="14"/>
        <v>248</v>
      </c>
      <c r="T80" s="147">
        <f t="shared" si="14"/>
        <v>304</v>
      </c>
      <c r="U80" s="147">
        <f t="shared" si="14"/>
        <v>1090</v>
      </c>
      <c r="V80" s="147">
        <f t="shared" si="14"/>
        <v>0</v>
      </c>
      <c r="W80" s="147">
        <f t="shared" si="14"/>
        <v>0</v>
      </c>
      <c r="X80" s="147">
        <f t="shared" si="14"/>
        <v>8</v>
      </c>
      <c r="Y80" s="147">
        <f t="shared" si="14"/>
        <v>567</v>
      </c>
      <c r="Z80" s="147">
        <f t="shared" si="14"/>
        <v>0</v>
      </c>
      <c r="AA80" s="147">
        <f t="shared" si="14"/>
        <v>25</v>
      </c>
      <c r="AB80" s="147">
        <f t="shared" si="14"/>
        <v>0</v>
      </c>
      <c r="AC80" s="147">
        <f t="shared" si="14"/>
        <v>0</v>
      </c>
      <c r="AD80" s="147">
        <f t="shared" si="14"/>
        <v>0</v>
      </c>
      <c r="AE80" s="147">
        <f t="shared" si="14"/>
        <v>0</v>
      </c>
      <c r="AF80" s="147">
        <f t="shared" si="14"/>
        <v>0</v>
      </c>
      <c r="AG80" s="147">
        <f t="shared" si="14"/>
        <v>0</v>
      </c>
      <c r="AH80" s="147">
        <f t="shared" si="14"/>
        <v>31757</v>
      </c>
      <c r="AI80" s="147">
        <f t="shared" si="14"/>
        <v>21728</v>
      </c>
      <c r="AJ80" s="147">
        <f t="shared" si="14"/>
        <v>1051</v>
      </c>
      <c r="AK80" s="147">
        <f t="shared" si="14"/>
        <v>311206</v>
      </c>
      <c r="AL80" s="147">
        <f t="shared" si="14"/>
        <v>6905</v>
      </c>
      <c r="AM80" s="147">
        <f t="shared" si="14"/>
        <v>0</v>
      </c>
      <c r="AN80" s="147">
        <f t="shared" si="14"/>
        <v>0</v>
      </c>
      <c r="AO80" s="177">
        <f t="shared" si="14"/>
        <v>-46</v>
      </c>
      <c r="AP80" s="148">
        <f>SUM(C80:AO80)</f>
        <v>921858</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4" t="s">
        <v>283</v>
      </c>
      <c r="B82" s="555"/>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48" t="s">
        <v>284</v>
      </c>
      <c r="B84" s="549"/>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285</v>
      </c>
      <c r="B85" s="178" t="s">
        <v>286</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287</v>
      </c>
      <c r="B86" s="178" t="s">
        <v>288</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v>2</v>
      </c>
      <c r="AN86" s="110"/>
      <c r="AO86" s="123"/>
      <c r="AP86" s="112">
        <f t="shared" si="15"/>
        <v>2</v>
      </c>
      <c r="AQ86" s="103"/>
    </row>
    <row r="87" spans="1:43" ht="14.45" customHeight="1" x14ac:dyDescent="0.2">
      <c r="A87" s="153" t="s">
        <v>289</v>
      </c>
      <c r="B87" s="178" t="s">
        <v>290</v>
      </c>
      <c r="C87" s="110"/>
      <c r="D87" s="110"/>
      <c r="E87" s="405"/>
      <c r="F87" s="405"/>
      <c r="G87" s="157"/>
      <c r="H87" s="110"/>
      <c r="I87" s="157"/>
      <c r="J87" s="157"/>
      <c r="K87" s="110"/>
      <c r="L87" s="157">
        <v>18</v>
      </c>
      <c r="M87" s="110"/>
      <c r="N87" s="110">
        <v>210</v>
      </c>
      <c r="O87" s="110"/>
      <c r="P87" s="110"/>
      <c r="Q87" s="110"/>
      <c r="R87" s="110"/>
      <c r="S87" s="110"/>
      <c r="T87" s="110"/>
      <c r="U87" s="110">
        <v>1</v>
      </c>
      <c r="V87" s="110"/>
      <c r="W87" s="124"/>
      <c r="X87" s="123"/>
      <c r="Y87" s="123"/>
      <c r="Z87" s="123"/>
      <c r="AA87" s="123"/>
      <c r="AB87" s="123"/>
      <c r="AC87" s="123"/>
      <c r="AD87" s="123"/>
      <c r="AE87" s="123"/>
      <c r="AF87" s="417"/>
      <c r="AG87" s="123"/>
      <c r="AH87" s="120"/>
      <c r="AI87" s="110"/>
      <c r="AJ87" s="110"/>
      <c r="AK87" s="110"/>
      <c r="AL87" s="124"/>
      <c r="AM87" s="123">
        <v>2977</v>
      </c>
      <c r="AN87" s="124"/>
      <c r="AO87" s="123"/>
      <c r="AP87" s="112">
        <f t="shared" si="15"/>
        <v>3206</v>
      </c>
      <c r="AQ87" s="103"/>
    </row>
    <row r="88" spans="1:43" ht="14.45" customHeight="1" x14ac:dyDescent="0.2">
      <c r="A88" s="153" t="s">
        <v>291</v>
      </c>
      <c r="B88" s="178" t="s">
        <v>292</v>
      </c>
      <c r="C88" s="110"/>
      <c r="D88" s="110"/>
      <c r="E88" s="110">
        <v>5937</v>
      </c>
      <c r="F88" s="124"/>
      <c r="G88" s="123">
        <v>2</v>
      </c>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v>1</v>
      </c>
      <c r="AN88" s="124"/>
      <c r="AO88" s="123"/>
      <c r="AP88" s="112">
        <f t="shared" si="15"/>
        <v>5940</v>
      </c>
      <c r="AQ88" s="103"/>
    </row>
    <row r="89" spans="1:43" ht="14.45" customHeight="1" x14ac:dyDescent="0.2">
      <c r="A89" s="153" t="s">
        <v>293</v>
      </c>
      <c r="B89" s="178" t="s">
        <v>294</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v>1</v>
      </c>
      <c r="AN89" s="124"/>
      <c r="AO89" s="123"/>
      <c r="AP89" s="112">
        <f t="shared" si="15"/>
        <v>1</v>
      </c>
      <c r="AQ89" s="103"/>
    </row>
    <row r="90" spans="1:43" ht="14.45" customHeight="1" x14ac:dyDescent="0.2">
      <c r="A90" s="153" t="s">
        <v>295</v>
      </c>
      <c r="B90" s="178" t="s">
        <v>296</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v>3151</v>
      </c>
      <c r="AN90" s="124"/>
      <c r="AO90" s="123"/>
      <c r="AP90" s="112">
        <f t="shared" si="15"/>
        <v>3151</v>
      </c>
      <c r="AQ90" s="103"/>
    </row>
    <row r="91" spans="1:43" ht="14.45" customHeight="1" x14ac:dyDescent="0.2">
      <c r="A91" s="153" t="s">
        <v>297</v>
      </c>
      <c r="B91" s="178" t="s">
        <v>298</v>
      </c>
      <c r="C91" s="110"/>
      <c r="D91" s="110"/>
      <c r="E91" s="110">
        <v>252</v>
      </c>
      <c r="F91" s="124"/>
      <c r="G91" s="123">
        <v>11</v>
      </c>
      <c r="H91" s="119"/>
      <c r="I91" s="123"/>
      <c r="J91" s="123"/>
      <c r="K91" s="119"/>
      <c r="L91" s="123"/>
      <c r="M91" s="120"/>
      <c r="N91" s="110">
        <v>18</v>
      </c>
      <c r="O91" s="110">
        <v>358</v>
      </c>
      <c r="P91" s="110"/>
      <c r="Q91" s="110"/>
      <c r="R91" s="110"/>
      <c r="S91" s="110"/>
      <c r="T91" s="110"/>
      <c r="U91" s="110">
        <v>4</v>
      </c>
      <c r="V91" s="110"/>
      <c r="W91" s="124"/>
      <c r="X91" s="123"/>
      <c r="Y91" s="123">
        <v>5229</v>
      </c>
      <c r="Z91" s="123"/>
      <c r="AA91" s="123"/>
      <c r="AB91" s="123"/>
      <c r="AC91" s="123"/>
      <c r="AD91" s="123"/>
      <c r="AE91" s="123"/>
      <c r="AF91" s="417"/>
      <c r="AG91" s="123"/>
      <c r="AH91" s="120"/>
      <c r="AI91" s="110"/>
      <c r="AJ91" s="110"/>
      <c r="AK91" s="110"/>
      <c r="AL91" s="124"/>
      <c r="AM91" s="123">
        <v>16757</v>
      </c>
      <c r="AN91" s="124"/>
      <c r="AO91" s="123"/>
      <c r="AP91" s="112">
        <f t="shared" si="15"/>
        <v>22629</v>
      </c>
      <c r="AQ91" s="103"/>
    </row>
    <row r="92" spans="1:43" ht="14.45" customHeight="1" x14ac:dyDescent="0.2">
      <c r="A92" s="153" t="s">
        <v>299</v>
      </c>
      <c r="B92" s="178" t="s">
        <v>300</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v>7</v>
      </c>
      <c r="AN92" s="124"/>
      <c r="AO92" s="123"/>
      <c r="AP92" s="112">
        <f t="shared" si="15"/>
        <v>7</v>
      </c>
      <c r="AQ92" s="103"/>
    </row>
    <row r="93" spans="1:43" ht="14.45" customHeight="1" x14ac:dyDescent="0.2">
      <c r="A93" s="153" t="s">
        <v>301</v>
      </c>
      <c r="B93" s="178" t="s">
        <v>302</v>
      </c>
      <c r="C93" s="110"/>
      <c r="D93" s="110"/>
      <c r="E93" s="110"/>
      <c r="F93" s="124">
        <v>30</v>
      </c>
      <c r="G93" s="123"/>
      <c r="H93" s="119"/>
      <c r="I93" s="123"/>
      <c r="J93" s="123"/>
      <c r="K93" s="119"/>
      <c r="L93" s="123"/>
      <c r="M93" s="120"/>
      <c r="N93" s="110"/>
      <c r="O93" s="110">
        <v>166</v>
      </c>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v>1779</v>
      </c>
      <c r="AN93" s="124"/>
      <c r="AO93" s="123"/>
      <c r="AP93" s="112">
        <f t="shared" si="15"/>
        <v>1975</v>
      </c>
      <c r="AQ93" s="103"/>
    </row>
    <row r="94" spans="1:43" ht="14.45" customHeight="1" x14ac:dyDescent="0.2">
      <c r="A94" s="153" t="s">
        <v>303</v>
      </c>
      <c r="B94" s="178" t="s">
        <v>304</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v>606</v>
      </c>
      <c r="AN94" s="119"/>
      <c r="AO94" s="123"/>
      <c r="AP94" s="112">
        <f t="shared" si="15"/>
        <v>606</v>
      </c>
      <c r="AQ94" s="103"/>
    </row>
    <row r="95" spans="1:43" ht="14.45" customHeight="1" x14ac:dyDescent="0.2">
      <c r="A95" s="153" t="s">
        <v>305</v>
      </c>
      <c r="B95" s="178" t="s">
        <v>306</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v>-60371</v>
      </c>
      <c r="AK95" s="120"/>
      <c r="AL95" s="391"/>
      <c r="AM95" s="128"/>
      <c r="AN95" s="124"/>
      <c r="AO95" s="123">
        <v>23379</v>
      </c>
      <c r="AP95" s="112">
        <f t="shared" si="15"/>
        <v>-36992</v>
      </c>
      <c r="AQ95" s="103"/>
    </row>
    <row r="96" spans="1:43" ht="14.45" customHeight="1" x14ac:dyDescent="0.2">
      <c r="A96" s="153" t="s">
        <v>307</v>
      </c>
      <c r="B96" s="178" t="s">
        <v>308</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5" customHeight="1" x14ac:dyDescent="0.2">
      <c r="A97" s="153" t="s">
        <v>309</v>
      </c>
      <c r="B97" s="178" t="s">
        <v>310</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5" customHeight="1" x14ac:dyDescent="0.2">
      <c r="A98" s="153" t="s">
        <v>311</v>
      </c>
      <c r="B98" s="178" t="s">
        <v>312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5" customHeight="1" x14ac:dyDescent="0.2">
      <c r="A99" s="153" t="s">
        <v>313</v>
      </c>
      <c r="B99" s="178" t="s">
        <v>314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v>12963</v>
      </c>
      <c r="AK99" s="120"/>
      <c r="AL99" s="391"/>
      <c r="AM99" s="110"/>
      <c r="AN99" s="124"/>
      <c r="AO99" s="123"/>
      <c r="AP99" s="112">
        <f t="shared" si="15"/>
        <v>12963</v>
      </c>
      <c r="AQ99" s="103"/>
    </row>
    <row r="100" spans="1:43" ht="14.45" customHeight="1" x14ac:dyDescent="0.2">
      <c r="A100" s="153" t="s">
        <v>315</v>
      </c>
      <c r="B100" s="178" t="s">
        <v>316</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5" customHeight="1" x14ac:dyDescent="0.2">
      <c r="A101" s="153" t="s">
        <v>317</v>
      </c>
      <c r="B101" s="178" t="s">
        <v>742</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v>19945</v>
      </c>
      <c r="AK101" s="120"/>
      <c r="AL101" s="420"/>
      <c r="AM101" s="110"/>
      <c r="AN101" s="124"/>
      <c r="AO101" s="123"/>
      <c r="AP101" s="112">
        <f t="shared" si="15"/>
        <v>19945</v>
      </c>
      <c r="AQ101" s="103"/>
    </row>
    <row r="102" spans="1:43" ht="14.45" customHeight="1" x14ac:dyDescent="0.2">
      <c r="A102" s="160" t="s">
        <v>736</v>
      </c>
      <c r="B102" s="179" t="s">
        <v>739</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v>43032</v>
      </c>
      <c r="AK102" s="120"/>
      <c r="AL102" s="391"/>
      <c r="AM102" s="110"/>
      <c r="AN102" s="124"/>
      <c r="AO102" s="123"/>
      <c r="AP102" s="112">
        <f t="shared" si="15"/>
        <v>43032</v>
      </c>
      <c r="AQ102" s="103"/>
    </row>
    <row r="103" spans="1:43" ht="14.45" customHeight="1" x14ac:dyDescent="0.2">
      <c r="A103" s="160" t="s">
        <v>737</v>
      </c>
      <c r="B103" s="179" t="s">
        <v>740</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5" customHeight="1" x14ac:dyDescent="0.2">
      <c r="A104" s="160" t="s">
        <v>738</v>
      </c>
      <c r="B104" s="179" t="s">
        <v>741</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v>11000</v>
      </c>
      <c r="AK104" s="120"/>
      <c r="AL104" s="419"/>
      <c r="AM104" s="110"/>
      <c r="AN104" s="124"/>
      <c r="AO104" s="123"/>
      <c r="AP104" s="112">
        <f t="shared" si="15"/>
        <v>11000</v>
      </c>
      <c r="AQ104" s="103"/>
    </row>
    <row r="105" spans="1:43" ht="14.45" customHeight="1" x14ac:dyDescent="0.2">
      <c r="A105" s="160" t="s">
        <v>319</v>
      </c>
      <c r="B105" s="179" t="s">
        <v>320</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5" customHeight="1" x14ac:dyDescent="0.2">
      <c r="A106" s="160" t="s">
        <v>321</v>
      </c>
      <c r="B106" s="179" t="s">
        <v>322</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5" customHeight="1" x14ac:dyDescent="0.2">
      <c r="A107" s="160" t="s">
        <v>323</v>
      </c>
      <c r="B107" s="179" t="s">
        <v>324</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v>66613</v>
      </c>
      <c r="AK107" s="120"/>
      <c r="AL107" s="391"/>
      <c r="AM107" s="114"/>
      <c r="AN107" s="124"/>
      <c r="AO107" s="123"/>
      <c r="AP107" s="112">
        <f t="shared" si="15"/>
        <v>66613</v>
      </c>
      <c r="AQ107" s="103"/>
    </row>
    <row r="108" spans="1:43" ht="15.75" x14ac:dyDescent="0.2">
      <c r="A108" s="556" t="s">
        <v>325</v>
      </c>
      <c r="B108" s="557"/>
      <c r="C108" s="161">
        <f t="shared" ref="C108:W108" si="16">SUM(C85:C107)</f>
        <v>0</v>
      </c>
      <c r="D108" s="134">
        <f t="shared" si="16"/>
        <v>0</v>
      </c>
      <c r="E108" s="130">
        <f t="shared" si="16"/>
        <v>6189</v>
      </c>
      <c r="F108" s="130">
        <f t="shared" si="16"/>
        <v>30</v>
      </c>
      <c r="G108" s="130">
        <f t="shared" si="16"/>
        <v>13</v>
      </c>
      <c r="H108" s="132">
        <f t="shared" si="16"/>
        <v>0</v>
      </c>
      <c r="I108" s="130">
        <f t="shared" si="16"/>
        <v>0</v>
      </c>
      <c r="J108" s="130">
        <f t="shared" si="16"/>
        <v>0</v>
      </c>
      <c r="K108" s="132">
        <f t="shared" si="16"/>
        <v>0</v>
      </c>
      <c r="L108" s="130">
        <f t="shared" si="16"/>
        <v>18</v>
      </c>
      <c r="M108" s="133">
        <f t="shared" si="16"/>
        <v>0</v>
      </c>
      <c r="N108" s="161">
        <f t="shared" si="16"/>
        <v>228</v>
      </c>
      <c r="O108" s="161">
        <f t="shared" si="16"/>
        <v>524</v>
      </c>
      <c r="P108" s="161">
        <f t="shared" si="16"/>
        <v>0</v>
      </c>
      <c r="Q108" s="161">
        <f t="shared" si="16"/>
        <v>0</v>
      </c>
      <c r="R108" s="161">
        <f t="shared" si="16"/>
        <v>0</v>
      </c>
      <c r="S108" s="161">
        <f t="shared" si="16"/>
        <v>0</v>
      </c>
      <c r="T108" s="161">
        <f t="shared" si="16"/>
        <v>0</v>
      </c>
      <c r="U108" s="161">
        <f t="shared" si="16"/>
        <v>5</v>
      </c>
      <c r="V108" s="161">
        <f t="shared" si="16"/>
        <v>0</v>
      </c>
      <c r="W108" s="134">
        <f t="shared" si="16"/>
        <v>0</v>
      </c>
      <c r="X108" s="130">
        <f t="shared" ref="X108:AF108" si="17">SUM(X85:X107)</f>
        <v>0</v>
      </c>
      <c r="Y108" s="130">
        <f t="shared" si="17"/>
        <v>5229</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93182</v>
      </c>
      <c r="AK108" s="133">
        <f t="shared" si="18"/>
        <v>0</v>
      </c>
      <c r="AL108" s="393">
        <f t="shared" si="18"/>
        <v>0</v>
      </c>
      <c r="AM108" s="130">
        <f t="shared" si="18"/>
        <v>25281</v>
      </c>
      <c r="AN108" s="132">
        <f t="shared" si="18"/>
        <v>0</v>
      </c>
      <c r="AO108" s="130">
        <f t="shared" si="18"/>
        <v>23379</v>
      </c>
      <c r="AP108" s="112">
        <f>SUM(C108:AO108)</f>
        <v>154078</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48" t="s">
        <v>326</v>
      </c>
      <c r="B110" s="549"/>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5" customHeight="1" x14ac:dyDescent="0.2">
      <c r="A111" s="153" t="s">
        <v>327</v>
      </c>
      <c r="B111" s="178" t="s">
        <v>328</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5" customHeight="1" x14ac:dyDescent="0.2">
      <c r="A112" s="153" t="s">
        <v>329</v>
      </c>
      <c r="B112" s="178" t="s">
        <v>330</v>
      </c>
      <c r="C112" s="110"/>
      <c r="D112" s="110"/>
      <c r="E112" s="123">
        <v>794</v>
      </c>
      <c r="F112" s="123"/>
      <c r="G112" s="123">
        <v>481</v>
      </c>
      <c r="H112" s="119"/>
      <c r="I112" s="123"/>
      <c r="J112" s="123"/>
      <c r="K112" s="120"/>
      <c r="L112" s="123"/>
      <c r="M112" s="110"/>
      <c r="N112" s="110"/>
      <c r="O112" s="110">
        <v>5</v>
      </c>
      <c r="P112" s="110"/>
      <c r="Q112" s="110"/>
      <c r="R112" s="110"/>
      <c r="S112" s="110"/>
      <c r="T112" s="110"/>
      <c r="U112" s="110">
        <v>143</v>
      </c>
      <c r="V112" s="110"/>
      <c r="W112" s="124"/>
      <c r="X112" s="123"/>
      <c r="Y112" s="123"/>
      <c r="Z112" s="123"/>
      <c r="AA112" s="123"/>
      <c r="AB112" s="123"/>
      <c r="AC112" s="123"/>
      <c r="AD112" s="123"/>
      <c r="AE112" s="123"/>
      <c r="AF112" s="417"/>
      <c r="AG112" s="123"/>
      <c r="AH112" s="110"/>
      <c r="AI112" s="110"/>
      <c r="AJ112" s="110"/>
      <c r="AK112" s="110"/>
      <c r="AL112" s="391"/>
      <c r="AM112" s="123"/>
      <c r="AN112" s="124"/>
      <c r="AO112" s="123">
        <v>22885</v>
      </c>
      <c r="AP112" s="112">
        <f t="shared" si="19"/>
        <v>24308</v>
      </c>
      <c r="AQ112" s="103"/>
    </row>
    <row r="113" spans="1:43" ht="14.45" customHeight="1" x14ac:dyDescent="0.2">
      <c r="A113" s="153" t="s">
        <v>331</v>
      </c>
      <c r="B113" s="178" t="s">
        <v>332</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5" customHeight="1" x14ac:dyDescent="0.2">
      <c r="A114" s="153" t="s">
        <v>333</v>
      </c>
      <c r="B114" s="178" t="s">
        <v>334</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5" customHeight="1" x14ac:dyDescent="0.2">
      <c r="A115" s="153" t="s">
        <v>743</v>
      </c>
      <c r="B115" s="178" t="s">
        <v>772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5" customHeight="1" x14ac:dyDescent="0.2">
      <c r="A116" s="153" t="s">
        <v>744</v>
      </c>
      <c r="B116" s="178" t="s">
        <v>773</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5" customHeight="1" x14ac:dyDescent="0.2">
      <c r="A117" s="153" t="s">
        <v>745</v>
      </c>
      <c r="B117" s="178" t="s">
        <v>774</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5" customHeight="1" x14ac:dyDescent="0.2">
      <c r="A118" s="160" t="s">
        <v>335</v>
      </c>
      <c r="B118" s="179" t="s">
        <v>795</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5" customHeight="1" x14ac:dyDescent="0.2">
      <c r="A119" s="160" t="s">
        <v>749</v>
      </c>
      <c r="B119" s="179" t="s">
        <v>775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5" customHeight="1" x14ac:dyDescent="0.2">
      <c r="A120" s="160" t="s">
        <v>750</v>
      </c>
      <c r="B120" s="179" t="s">
        <v>776</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5" customHeight="1" x14ac:dyDescent="0.2">
      <c r="A121" s="160" t="s">
        <v>751</v>
      </c>
      <c r="B121" s="179" t="s">
        <v>777</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5" customHeight="1" x14ac:dyDescent="0.2">
      <c r="A122" s="160" t="s">
        <v>337</v>
      </c>
      <c r="B122" s="179" t="s">
        <v>338</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5" customHeight="1" x14ac:dyDescent="0.2">
      <c r="A123" s="160" t="s">
        <v>339</v>
      </c>
      <c r="B123" s="179" t="s">
        <v>340</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5" customHeight="1" x14ac:dyDescent="0.2">
      <c r="A124" s="153" t="s">
        <v>341</v>
      </c>
      <c r="B124" s="178" t="s">
        <v>342</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5" customHeight="1" x14ac:dyDescent="0.2">
      <c r="A125" s="160" t="s">
        <v>343</v>
      </c>
      <c r="B125" s="179" t="s">
        <v>344</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345</v>
      </c>
      <c r="B126" s="179" t="s">
        <v>346</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347</v>
      </c>
      <c r="B127" s="179" t="s">
        <v>348</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5" customHeight="1" x14ac:dyDescent="0.2">
      <c r="A128" s="153" t="s">
        <v>349</v>
      </c>
      <c r="B128" s="180" t="s">
        <v>350</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351</v>
      </c>
      <c r="B129" s="181" t="s">
        <v>352</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353</v>
      </c>
      <c r="B130" s="181" t="s">
        <v>354</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355</v>
      </c>
      <c r="B131" s="181" t="s">
        <v>778</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756</v>
      </c>
      <c r="B132" s="181" t="s">
        <v>779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757</v>
      </c>
      <c r="B133" s="181" t="s">
        <v>780</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758</v>
      </c>
      <c r="B134" s="180" t="s">
        <v>781</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356</v>
      </c>
      <c r="B135" s="164"/>
      <c r="C135" s="161">
        <f t="shared" ref="C135:W135" si="20">SUM(C111:C134)</f>
        <v>0</v>
      </c>
      <c r="D135" s="134">
        <f t="shared" si="20"/>
        <v>0</v>
      </c>
      <c r="E135" s="130">
        <f t="shared" si="20"/>
        <v>794</v>
      </c>
      <c r="F135" s="130">
        <f t="shared" si="20"/>
        <v>0</v>
      </c>
      <c r="G135" s="130">
        <f t="shared" si="20"/>
        <v>481</v>
      </c>
      <c r="H135" s="132">
        <f t="shared" si="20"/>
        <v>0</v>
      </c>
      <c r="I135" s="130">
        <f t="shared" si="20"/>
        <v>0</v>
      </c>
      <c r="J135" s="130">
        <f t="shared" si="20"/>
        <v>0</v>
      </c>
      <c r="K135" s="133">
        <f t="shared" si="20"/>
        <v>0</v>
      </c>
      <c r="L135" s="130">
        <f t="shared" si="20"/>
        <v>0</v>
      </c>
      <c r="M135" s="161">
        <f t="shared" si="20"/>
        <v>0</v>
      </c>
      <c r="N135" s="161">
        <f t="shared" si="20"/>
        <v>0</v>
      </c>
      <c r="O135" s="161">
        <f t="shared" si="20"/>
        <v>5</v>
      </c>
      <c r="P135" s="161">
        <f t="shared" si="20"/>
        <v>0</v>
      </c>
      <c r="Q135" s="161">
        <f t="shared" si="20"/>
        <v>0</v>
      </c>
      <c r="R135" s="161">
        <f t="shared" si="20"/>
        <v>0</v>
      </c>
      <c r="S135" s="161">
        <f t="shared" si="20"/>
        <v>0</v>
      </c>
      <c r="T135" s="161">
        <f t="shared" si="20"/>
        <v>0</v>
      </c>
      <c r="U135" s="161">
        <f t="shared" si="20"/>
        <v>143</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22885</v>
      </c>
      <c r="AP135" s="112">
        <f t="shared" si="19"/>
        <v>24308</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50" t="s">
        <v>357</v>
      </c>
      <c r="B137" s="551"/>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5" customHeight="1" x14ac:dyDescent="0.2">
      <c r="A138" s="153" t="s">
        <v>358</v>
      </c>
      <c r="B138" s="178" t="s">
        <v>359</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v>181525</v>
      </c>
      <c r="AL138" s="120"/>
      <c r="AM138" s="110"/>
      <c r="AN138" s="124"/>
      <c r="AO138" s="123"/>
      <c r="AP138" s="112">
        <f t="shared" ref="AP138:AP155" si="23">SUM(C138:AO138)</f>
        <v>181525</v>
      </c>
      <c r="AQ138" s="103"/>
    </row>
    <row r="139" spans="1:43" ht="14.45" customHeight="1" x14ac:dyDescent="0.2">
      <c r="A139" s="153" t="s">
        <v>360</v>
      </c>
      <c r="B139" s="178" t="s">
        <v>361</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v>108764</v>
      </c>
      <c r="AL139" s="120"/>
      <c r="AM139" s="110"/>
      <c r="AN139" s="124"/>
      <c r="AO139" s="123"/>
      <c r="AP139" s="112">
        <f t="shared" si="23"/>
        <v>108764</v>
      </c>
      <c r="AQ139" s="103"/>
    </row>
    <row r="140" spans="1:43" ht="14.45" customHeight="1" x14ac:dyDescent="0.2">
      <c r="A140" s="153" t="s">
        <v>362</v>
      </c>
      <c r="B140" s="178" t="s">
        <v>363</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v>-13990</v>
      </c>
      <c r="AL140" s="120"/>
      <c r="AM140" s="110"/>
      <c r="AN140" s="124"/>
      <c r="AO140" s="123"/>
      <c r="AP140" s="112">
        <f t="shared" si="23"/>
        <v>-13990</v>
      </c>
      <c r="AQ140" s="103"/>
    </row>
    <row r="141" spans="1:43" ht="14.45" customHeight="1" x14ac:dyDescent="0.2">
      <c r="A141" s="153" t="s">
        <v>364</v>
      </c>
      <c r="B141" s="180" t="s">
        <v>365</v>
      </c>
      <c r="C141" s="110"/>
      <c r="D141" s="110"/>
      <c r="E141" s="110"/>
      <c r="F141" s="110"/>
      <c r="G141" s="110"/>
      <c r="H141" s="110"/>
      <c r="I141" s="110"/>
      <c r="J141" s="110"/>
      <c r="K141" s="110"/>
      <c r="L141" s="110">
        <v>131</v>
      </c>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v>34531</v>
      </c>
      <c r="AM141" s="120"/>
      <c r="AN141" s="123"/>
      <c r="AO141" s="123"/>
      <c r="AP141" s="112">
        <f t="shared" si="23"/>
        <v>34662</v>
      </c>
      <c r="AQ141" s="103"/>
    </row>
    <row r="142" spans="1:43" ht="14.45" customHeight="1" x14ac:dyDescent="0.2">
      <c r="A142" s="153" t="s">
        <v>366</v>
      </c>
      <c r="B142" s="178" t="s">
        <v>367</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368</v>
      </c>
      <c r="B143" s="178" t="s">
        <v>369</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370</v>
      </c>
      <c r="B144" s="178" t="s">
        <v>371</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v>-181</v>
      </c>
      <c r="AK144" s="120"/>
      <c r="AL144" s="110"/>
      <c r="AM144" s="110"/>
      <c r="AN144" s="124"/>
      <c r="AO144" s="123"/>
      <c r="AP144" s="112">
        <f t="shared" si="23"/>
        <v>-181</v>
      </c>
      <c r="AQ144" s="103"/>
    </row>
    <row r="145" spans="1:43" ht="14.45" customHeight="1" x14ac:dyDescent="0.2">
      <c r="A145" s="153" t="s">
        <v>372</v>
      </c>
      <c r="B145" s="178" t="s">
        <v>373</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374</v>
      </c>
      <c r="B146" s="179" t="s">
        <v>375</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782</v>
      </c>
      <c r="B147" s="179" t="s">
        <v>874</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783</v>
      </c>
      <c r="B148" s="179" t="s">
        <v>875</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784</v>
      </c>
      <c r="B149" s="179" t="s">
        <v>876</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v>-1029</v>
      </c>
      <c r="AK149" s="120"/>
      <c r="AL149" s="110"/>
      <c r="AM149" s="110"/>
      <c r="AN149" s="124"/>
      <c r="AO149" s="123"/>
      <c r="AP149" s="112">
        <f t="shared" si="23"/>
        <v>-1029</v>
      </c>
      <c r="AQ149" s="103"/>
    </row>
    <row r="150" spans="1:43" ht="14.45" customHeight="1" x14ac:dyDescent="0.2">
      <c r="A150" s="153" t="s">
        <v>376</v>
      </c>
      <c r="B150" s="178" t="s">
        <v>377</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v>-4456</v>
      </c>
      <c r="AK150" s="120"/>
      <c r="AL150" s="110"/>
      <c r="AM150" s="110"/>
      <c r="AN150" s="124"/>
      <c r="AO150" s="123"/>
      <c r="AP150" s="112">
        <f t="shared" si="23"/>
        <v>-4456</v>
      </c>
      <c r="AQ150" s="103"/>
    </row>
    <row r="151" spans="1:43" ht="14.45" customHeight="1" x14ac:dyDescent="0.2">
      <c r="A151" s="153" t="s">
        <v>378</v>
      </c>
      <c r="B151" s="178" t="s">
        <v>379</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380</v>
      </c>
      <c r="B152" s="178" t="s">
        <v>381</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v>1306</v>
      </c>
      <c r="AK152" s="120"/>
      <c r="AL152" s="110"/>
      <c r="AM152" s="110"/>
      <c r="AN152" s="124"/>
      <c r="AO152" s="123"/>
      <c r="AP152" s="112">
        <f t="shared" si="23"/>
        <v>1306</v>
      </c>
      <c r="AQ152" s="103"/>
    </row>
    <row r="153" spans="1:43" ht="14.45" customHeight="1" x14ac:dyDescent="0.2">
      <c r="A153" s="162" t="s">
        <v>382</v>
      </c>
      <c r="B153" s="182" t="s">
        <v>383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619</v>
      </c>
      <c r="B154" s="382" t="s">
        <v>641</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384</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131</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-4360</v>
      </c>
      <c r="AK155" s="130">
        <f t="shared" si="26"/>
        <v>276299</v>
      </c>
      <c r="AL155" s="130">
        <f t="shared" si="26"/>
        <v>34531</v>
      </c>
      <c r="AM155" s="120">
        <f t="shared" si="26"/>
        <v>0</v>
      </c>
      <c r="AN155" s="130">
        <f t="shared" si="26"/>
        <v>0</v>
      </c>
      <c r="AO155" s="130">
        <f t="shared" si="26"/>
        <v>0</v>
      </c>
      <c r="AP155" s="112">
        <f t="shared" si="23"/>
        <v>306601</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48" t="s">
        <v>385</v>
      </c>
      <c r="B157" s="549"/>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5" customHeight="1" x14ac:dyDescent="0.2">
      <c r="A158" s="160" t="s">
        <v>386</v>
      </c>
      <c r="B158" s="179" t="s">
        <v>805</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785</v>
      </c>
      <c r="B159" s="179" t="s">
        <v>806</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787</v>
      </c>
      <c r="B160" s="179" t="s">
        <v>807</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789</v>
      </c>
      <c r="B161" s="179" t="s">
        <v>808</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387</v>
      </c>
      <c r="B162" s="178" t="s">
        <v>388</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389</v>
      </c>
      <c r="B163" s="178" t="s">
        <v>485</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v>7999</v>
      </c>
      <c r="AK163" s="120"/>
      <c r="AL163" s="110"/>
      <c r="AM163" s="110"/>
      <c r="AN163" s="124"/>
      <c r="AO163" s="123"/>
      <c r="AP163" s="112">
        <f t="shared" si="27"/>
        <v>7999</v>
      </c>
      <c r="AQ163" s="103"/>
    </row>
    <row r="164" spans="1:43" ht="14.45" customHeight="1" x14ac:dyDescent="0.2">
      <c r="A164" s="162" t="s">
        <v>390</v>
      </c>
      <c r="B164" s="181" t="s">
        <v>391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v>1809</v>
      </c>
      <c r="AK164" s="120"/>
      <c r="AL164" s="110"/>
      <c r="AM164" s="110"/>
      <c r="AN164" s="124"/>
      <c r="AO164" s="123"/>
      <c r="AP164" s="112">
        <f t="shared" si="27"/>
        <v>1809</v>
      </c>
      <c r="AQ164" s="103"/>
    </row>
    <row r="165" spans="1:43" ht="14.45" customHeight="1" x14ac:dyDescent="0.2">
      <c r="A165" s="162" t="s">
        <v>392</v>
      </c>
      <c r="B165" s="181" t="s">
        <v>393</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v>23167</v>
      </c>
      <c r="AK165" s="120"/>
      <c r="AL165" s="110"/>
      <c r="AM165" s="110"/>
      <c r="AN165" s="124"/>
      <c r="AO165" s="123"/>
      <c r="AP165" s="112">
        <f t="shared" si="27"/>
        <v>23167</v>
      </c>
      <c r="AQ165" s="103"/>
    </row>
    <row r="166" spans="1:43" ht="14.45" customHeight="1" x14ac:dyDescent="0.2">
      <c r="A166" s="162" t="s">
        <v>394</v>
      </c>
      <c r="B166" s="181" t="s">
        <v>791</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v>10638</v>
      </c>
      <c r="AK166" s="120"/>
      <c r="AL166" s="110"/>
      <c r="AM166" s="110"/>
      <c r="AN166" s="124"/>
      <c r="AO166" s="123"/>
      <c r="AP166" s="112">
        <f t="shared" si="27"/>
        <v>10638</v>
      </c>
      <c r="AQ166" s="103"/>
    </row>
    <row r="167" spans="1:43" ht="14.45" customHeight="1" x14ac:dyDescent="0.2">
      <c r="A167" s="162" t="s">
        <v>763</v>
      </c>
      <c r="B167" s="181" t="s">
        <v>792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v>-220</v>
      </c>
      <c r="AK167" s="120"/>
      <c r="AL167" s="110"/>
      <c r="AM167" s="110"/>
      <c r="AN167" s="124"/>
      <c r="AO167" s="123"/>
      <c r="AP167" s="112">
        <f t="shared" si="27"/>
        <v>-220</v>
      </c>
      <c r="AQ167" s="103"/>
    </row>
    <row r="168" spans="1:43" ht="14.45" customHeight="1" x14ac:dyDescent="0.2">
      <c r="A168" s="162" t="s">
        <v>764</v>
      </c>
      <c r="B168" s="181" t="s">
        <v>793</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v>-350</v>
      </c>
      <c r="AK168" s="120"/>
      <c r="AL168" s="110"/>
      <c r="AM168" s="110"/>
      <c r="AN168" s="124"/>
      <c r="AO168" s="123"/>
      <c r="AP168" s="112">
        <f t="shared" si="27"/>
        <v>-350</v>
      </c>
      <c r="AQ168" s="103"/>
    </row>
    <row r="169" spans="1:43" ht="14.45" customHeight="1" x14ac:dyDescent="0.2">
      <c r="A169" s="162" t="s">
        <v>765</v>
      </c>
      <c r="B169" s="181" t="s">
        <v>794</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v>2729</v>
      </c>
      <c r="AK169" s="120"/>
      <c r="AL169" s="110"/>
      <c r="AM169" s="110"/>
      <c r="AN169" s="124"/>
      <c r="AO169" s="123"/>
      <c r="AP169" s="112">
        <f t="shared" si="27"/>
        <v>2729</v>
      </c>
      <c r="AQ169" s="103"/>
    </row>
    <row r="170" spans="1:43" ht="15.75" x14ac:dyDescent="0.2">
      <c r="A170" s="163" t="s">
        <v>395</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45772</v>
      </c>
      <c r="AK170" s="120">
        <f t="shared" si="30"/>
        <v>0</v>
      </c>
      <c r="AL170" s="110">
        <f t="shared" si="30"/>
        <v>0</v>
      </c>
      <c r="AM170" s="110">
        <f t="shared" si="30"/>
        <v>0</v>
      </c>
      <c r="AN170" s="124">
        <f t="shared" si="30"/>
        <v>0</v>
      </c>
      <c r="AO170" s="123">
        <f t="shared" si="30"/>
        <v>0</v>
      </c>
      <c r="AP170" s="112">
        <f t="shared" si="27"/>
        <v>45772</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396</v>
      </c>
      <c r="B172" s="168"/>
      <c r="C172" s="147">
        <f t="shared" ref="C172:W172" si="31">SUM(C108,C135,C155,C170)</f>
        <v>0</v>
      </c>
      <c r="D172" s="147">
        <f t="shared" si="31"/>
        <v>0</v>
      </c>
      <c r="E172" s="147">
        <f t="shared" si="31"/>
        <v>6983</v>
      </c>
      <c r="F172" s="147">
        <f t="shared" si="31"/>
        <v>30</v>
      </c>
      <c r="G172" s="147">
        <f t="shared" si="31"/>
        <v>494</v>
      </c>
      <c r="H172" s="147">
        <f t="shared" si="31"/>
        <v>0</v>
      </c>
      <c r="I172" s="147">
        <f t="shared" si="31"/>
        <v>0</v>
      </c>
      <c r="J172" s="147">
        <f t="shared" si="31"/>
        <v>0</v>
      </c>
      <c r="K172" s="147">
        <f t="shared" si="31"/>
        <v>0</v>
      </c>
      <c r="L172" s="147">
        <f t="shared" si="31"/>
        <v>149</v>
      </c>
      <c r="M172" s="147">
        <f t="shared" si="31"/>
        <v>0</v>
      </c>
      <c r="N172" s="147">
        <f t="shared" si="31"/>
        <v>228</v>
      </c>
      <c r="O172" s="147">
        <f t="shared" si="31"/>
        <v>529</v>
      </c>
      <c r="P172" s="147">
        <f t="shared" si="31"/>
        <v>0</v>
      </c>
      <c r="Q172" s="147">
        <f t="shared" si="31"/>
        <v>0</v>
      </c>
      <c r="R172" s="147">
        <f t="shared" si="31"/>
        <v>0</v>
      </c>
      <c r="S172" s="147">
        <f t="shared" si="31"/>
        <v>0</v>
      </c>
      <c r="T172" s="147">
        <f t="shared" si="31"/>
        <v>0</v>
      </c>
      <c r="U172" s="147">
        <f t="shared" si="31"/>
        <v>148</v>
      </c>
      <c r="V172" s="147">
        <f t="shared" si="31"/>
        <v>0</v>
      </c>
      <c r="W172" s="147">
        <f t="shared" si="31"/>
        <v>0</v>
      </c>
      <c r="X172" s="147">
        <f t="shared" ref="X172:AF172" si="32">SUM(X108,X135,X155,X170)</f>
        <v>0</v>
      </c>
      <c r="Y172" s="147">
        <f t="shared" si="32"/>
        <v>5229</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134594</v>
      </c>
      <c r="AK172" s="147">
        <f t="shared" si="33"/>
        <v>276299</v>
      </c>
      <c r="AL172" s="147">
        <f t="shared" si="33"/>
        <v>34531</v>
      </c>
      <c r="AM172" s="147">
        <f t="shared" si="33"/>
        <v>25281</v>
      </c>
      <c r="AN172" s="147">
        <f t="shared" si="33"/>
        <v>0</v>
      </c>
      <c r="AO172" s="147">
        <f t="shared" si="33"/>
        <v>46264</v>
      </c>
      <c r="AP172" s="148">
        <f>SUM(C172:AO172)</f>
        <v>530759</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618</v>
      </c>
      <c r="B174" s="168"/>
      <c r="C174" s="147">
        <f t="shared" ref="C174:W174" si="34">SUM(C80,C172)</f>
        <v>6179</v>
      </c>
      <c r="D174" s="147">
        <f t="shared" si="34"/>
        <v>125820</v>
      </c>
      <c r="E174" s="147">
        <f t="shared" si="34"/>
        <v>7100</v>
      </c>
      <c r="F174" s="147">
        <f t="shared" si="34"/>
        <v>30</v>
      </c>
      <c r="G174" s="147">
        <f t="shared" si="34"/>
        <v>2576</v>
      </c>
      <c r="H174" s="147">
        <f t="shared" si="34"/>
        <v>0</v>
      </c>
      <c r="I174" s="147">
        <f t="shared" si="34"/>
        <v>3</v>
      </c>
      <c r="J174" s="147">
        <f t="shared" si="34"/>
        <v>5316</v>
      </c>
      <c r="K174" s="147">
        <f t="shared" si="34"/>
        <v>1143</v>
      </c>
      <c r="L174" s="147">
        <f t="shared" si="34"/>
        <v>1060</v>
      </c>
      <c r="M174" s="147">
        <f t="shared" si="34"/>
        <v>0</v>
      </c>
      <c r="N174" s="147">
        <f t="shared" si="34"/>
        <v>401127</v>
      </c>
      <c r="O174" s="147">
        <f t="shared" si="34"/>
        <v>2216</v>
      </c>
      <c r="P174" s="147">
        <f t="shared" si="34"/>
        <v>0</v>
      </c>
      <c r="Q174" s="147">
        <f t="shared" si="34"/>
        <v>2858</v>
      </c>
      <c r="R174" s="147">
        <f t="shared" si="34"/>
        <v>0</v>
      </c>
      <c r="S174" s="147">
        <f t="shared" si="34"/>
        <v>248</v>
      </c>
      <c r="T174" s="147">
        <f t="shared" si="34"/>
        <v>304</v>
      </c>
      <c r="U174" s="147">
        <f t="shared" si="34"/>
        <v>1238</v>
      </c>
      <c r="V174" s="147">
        <f t="shared" si="34"/>
        <v>0</v>
      </c>
      <c r="W174" s="147">
        <f t="shared" si="34"/>
        <v>0</v>
      </c>
      <c r="X174" s="147">
        <f t="shared" ref="X174:AD174" si="35">SUM(X80,X172)</f>
        <v>8</v>
      </c>
      <c r="Y174" s="147">
        <f t="shared" si="35"/>
        <v>5796</v>
      </c>
      <c r="Z174" s="147">
        <f t="shared" si="35"/>
        <v>0</v>
      </c>
      <c r="AA174" s="147">
        <f t="shared" si="35"/>
        <v>25</v>
      </c>
      <c r="AB174" s="147">
        <f t="shared" si="35"/>
        <v>0</v>
      </c>
      <c r="AC174" s="147">
        <f t="shared" si="35"/>
        <v>0</v>
      </c>
      <c r="AD174" s="147">
        <f t="shared" si="35"/>
        <v>0</v>
      </c>
      <c r="AE174" s="147">
        <f>SUM(AF83,AE172)</f>
        <v>0</v>
      </c>
      <c r="AF174" s="147">
        <f>SUM(AG83,AF172)</f>
        <v>0</v>
      </c>
      <c r="AG174" s="147">
        <f t="shared" ref="AG174:AO174" si="36">SUM(AG80,AG172)</f>
        <v>0</v>
      </c>
      <c r="AH174" s="147">
        <f t="shared" si="36"/>
        <v>31757</v>
      </c>
      <c r="AI174" s="147">
        <f t="shared" si="36"/>
        <v>21728</v>
      </c>
      <c r="AJ174" s="147">
        <f t="shared" si="36"/>
        <v>135645</v>
      </c>
      <c r="AK174" s="147">
        <f t="shared" si="36"/>
        <v>587505</v>
      </c>
      <c r="AL174" s="147">
        <f t="shared" si="36"/>
        <v>41436</v>
      </c>
      <c r="AM174" s="147">
        <f t="shared" si="36"/>
        <v>25281</v>
      </c>
      <c r="AN174" s="147">
        <f t="shared" si="36"/>
        <v>0</v>
      </c>
      <c r="AO174" s="147">
        <f t="shared" si="36"/>
        <v>46218</v>
      </c>
      <c r="AP174" s="148">
        <f>SUM(C174:AO174)</f>
        <v>1452617</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F24" sqref="F24"/>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58" t="str">
        <f>"Balansstandenoverzicht provincie "&amp;'4.Informatie'!C5&amp;" ("&amp;'4.Informatie'!C6&amp;"): "&amp;"jaar "&amp;'4.Informatie'!C7</f>
        <v>Balansstandenoverzicht provincie Provincie Limburg (0011): jaar 2025</v>
      </c>
      <c r="C1" s="558"/>
      <c r="D1" s="558"/>
      <c r="E1" s="558"/>
      <c r="F1" s="558"/>
      <c r="G1" s="558"/>
      <c r="H1" s="558"/>
      <c r="I1" s="558"/>
    </row>
    <row r="2" spans="1:11" s="188" customFormat="1" ht="18" customHeight="1" x14ac:dyDescent="0.25">
      <c r="A2" s="185"/>
      <c r="B2" s="186" t="s">
        <v>415</v>
      </c>
      <c r="C2" s="185"/>
      <c r="D2" s="187"/>
      <c r="E2" s="187"/>
      <c r="F2" s="187"/>
    </row>
    <row r="3" spans="1:11" ht="12.75" customHeight="1" x14ac:dyDescent="0.2">
      <c r="A3" s="189"/>
      <c r="B3" s="189"/>
      <c r="C3" s="190"/>
      <c r="D3" s="191" t="s">
        <v>416</v>
      </c>
      <c r="E3" s="77"/>
      <c r="F3" s="192" t="s">
        <v>417</v>
      </c>
      <c r="G3" s="193"/>
      <c r="H3" s="194" t="s">
        <v>418</v>
      </c>
      <c r="I3" s="195"/>
    </row>
    <row r="4" spans="1:11" ht="12.75" customHeight="1" x14ac:dyDescent="0.2">
      <c r="A4" s="196"/>
      <c r="B4" s="83" t="s">
        <v>419</v>
      </c>
      <c r="C4" s="196"/>
      <c r="D4" s="196"/>
      <c r="E4" s="197"/>
      <c r="F4" s="198"/>
      <c r="G4" s="199"/>
      <c r="H4" s="198"/>
      <c r="I4" s="199"/>
    </row>
    <row r="5" spans="1:11" ht="19.5" customHeight="1" x14ac:dyDescent="0.2">
      <c r="A5" s="189"/>
      <c r="B5" s="200" t="s">
        <v>420</v>
      </c>
      <c r="C5" s="201"/>
      <c r="D5" s="202"/>
      <c r="E5" s="203"/>
      <c r="F5" s="204"/>
      <c r="G5" s="205"/>
      <c r="H5" s="204"/>
      <c r="I5" s="205"/>
    </row>
    <row r="6" spans="1:11" ht="19.5" customHeight="1" x14ac:dyDescent="0.2">
      <c r="A6" s="189"/>
      <c r="B6" s="206" t="s">
        <v>421</v>
      </c>
      <c r="C6" s="207"/>
      <c r="D6" s="202"/>
      <c r="E6" s="208"/>
      <c r="F6" s="204"/>
      <c r="G6" s="205"/>
      <c r="H6" s="204"/>
      <c r="I6" s="205"/>
    </row>
    <row r="7" spans="1:11" ht="12.75" x14ac:dyDescent="0.2">
      <c r="A7" s="189"/>
      <c r="B7" s="25" t="s">
        <v>422</v>
      </c>
      <c r="C7" s="209"/>
      <c r="D7" s="210" t="s">
        <v>285</v>
      </c>
      <c r="E7" s="211"/>
      <c r="F7" s="212"/>
      <c r="G7" s="213"/>
      <c r="H7" s="212"/>
      <c r="I7" s="205"/>
      <c r="K7" s="341" t="s">
        <v>609</v>
      </c>
    </row>
    <row r="8" spans="1:11" ht="12.75" x14ac:dyDescent="0.2">
      <c r="A8" s="189"/>
      <c r="B8" s="25" t="s">
        <v>423</v>
      </c>
      <c r="C8" s="209"/>
      <c r="D8" s="210" t="s">
        <v>287</v>
      </c>
      <c r="E8" s="211"/>
      <c r="F8" s="212">
        <v>6</v>
      </c>
      <c r="G8" s="213"/>
      <c r="H8" s="212">
        <v>4</v>
      </c>
      <c r="I8" s="205"/>
      <c r="K8" s="341" t="s">
        <v>609</v>
      </c>
    </row>
    <row r="9" spans="1:11" ht="12.75" x14ac:dyDescent="0.2">
      <c r="A9" s="189"/>
      <c r="B9" s="214" t="s">
        <v>424</v>
      </c>
      <c r="C9" s="209"/>
      <c r="D9" s="210" t="s">
        <v>289</v>
      </c>
      <c r="E9" s="211"/>
      <c r="F9" s="212">
        <v>58107</v>
      </c>
      <c r="G9" s="213"/>
      <c r="H9" s="212">
        <v>72463</v>
      </c>
      <c r="I9" s="205"/>
      <c r="K9" s="341" t="s">
        <v>609</v>
      </c>
    </row>
    <row r="10" spans="1:11" ht="19.5" customHeight="1" x14ac:dyDescent="0.2">
      <c r="A10" s="189"/>
      <c r="B10" s="215" t="s">
        <v>425</v>
      </c>
      <c r="C10" s="209"/>
      <c r="D10" s="210"/>
      <c r="E10" s="211"/>
      <c r="F10" s="216"/>
      <c r="G10" s="213"/>
      <c r="H10" s="216"/>
      <c r="I10" s="205"/>
      <c r="K10" s="342"/>
    </row>
    <row r="11" spans="1:11" ht="12.75" x14ac:dyDescent="0.2">
      <c r="A11" s="189"/>
      <c r="B11" s="214" t="s">
        <v>426</v>
      </c>
      <c r="C11" s="209"/>
      <c r="D11" s="210" t="s">
        <v>291</v>
      </c>
      <c r="E11" s="211"/>
      <c r="F11" s="443">
        <v>45673</v>
      </c>
      <c r="G11" s="213"/>
      <c r="H11" s="443">
        <v>39775</v>
      </c>
      <c r="I11" s="205"/>
      <c r="K11" s="341" t="s">
        <v>609</v>
      </c>
    </row>
    <row r="12" spans="1:11" ht="12.75" x14ac:dyDescent="0.2">
      <c r="A12" s="189"/>
      <c r="B12" s="214" t="s">
        <v>427</v>
      </c>
      <c r="C12" s="209"/>
      <c r="D12" s="210" t="s">
        <v>293</v>
      </c>
      <c r="E12" s="211"/>
      <c r="F12" s="443">
        <v>11</v>
      </c>
      <c r="G12" s="213"/>
      <c r="H12" s="443">
        <v>10</v>
      </c>
      <c r="I12" s="205"/>
      <c r="K12" s="341" t="s">
        <v>609</v>
      </c>
    </row>
    <row r="13" spans="1:11" ht="12.75" x14ac:dyDescent="0.2">
      <c r="A13" s="189"/>
      <c r="B13" s="214" t="s">
        <v>428</v>
      </c>
      <c r="C13" s="209"/>
      <c r="D13" s="210" t="s">
        <v>295</v>
      </c>
      <c r="E13" s="211"/>
      <c r="F13" s="443">
        <v>27861</v>
      </c>
      <c r="G13" s="213"/>
      <c r="H13" s="443">
        <v>24711</v>
      </c>
      <c r="I13" s="205"/>
      <c r="K13" s="341" t="s">
        <v>609</v>
      </c>
    </row>
    <row r="14" spans="1:11" ht="12.75" x14ac:dyDescent="0.2">
      <c r="A14" s="189"/>
      <c r="B14" s="214" t="s">
        <v>429</v>
      </c>
      <c r="C14" s="209"/>
      <c r="D14" s="210" t="s">
        <v>297</v>
      </c>
      <c r="E14" s="211"/>
      <c r="F14" s="443">
        <v>329146</v>
      </c>
      <c r="G14" s="213"/>
      <c r="H14" s="443">
        <v>326513</v>
      </c>
      <c r="I14" s="205"/>
      <c r="K14" s="341" t="s">
        <v>609</v>
      </c>
    </row>
    <row r="15" spans="1:11" ht="12.75" x14ac:dyDescent="0.2">
      <c r="A15" s="189"/>
      <c r="B15" s="214" t="s">
        <v>430</v>
      </c>
      <c r="C15" s="209"/>
      <c r="D15" s="210" t="s">
        <v>299</v>
      </c>
      <c r="E15" s="211"/>
      <c r="F15" s="443">
        <v>7</v>
      </c>
      <c r="G15" s="213"/>
      <c r="H15" s="443"/>
      <c r="I15" s="205"/>
      <c r="K15" s="341" t="s">
        <v>609</v>
      </c>
    </row>
    <row r="16" spans="1:11" ht="12.75" x14ac:dyDescent="0.2">
      <c r="A16" s="189"/>
      <c r="B16" s="214" t="s">
        <v>431</v>
      </c>
      <c r="C16" s="209"/>
      <c r="D16" s="210" t="s">
        <v>301</v>
      </c>
      <c r="E16" s="211"/>
      <c r="F16" s="443">
        <v>14890</v>
      </c>
      <c r="G16" s="213"/>
      <c r="H16" s="443">
        <v>15878</v>
      </c>
      <c r="I16" s="205"/>
      <c r="K16" s="341" t="s">
        <v>609</v>
      </c>
    </row>
    <row r="17" spans="1:11" ht="12.75" x14ac:dyDescent="0.2">
      <c r="A17" s="189"/>
      <c r="B17" s="214" t="s">
        <v>432</v>
      </c>
      <c r="C17" s="209"/>
      <c r="D17" s="210" t="s">
        <v>303</v>
      </c>
      <c r="E17" s="211"/>
      <c r="F17" s="443">
        <v>3137</v>
      </c>
      <c r="G17" s="213"/>
      <c r="H17" s="443">
        <v>3042</v>
      </c>
      <c r="I17" s="205"/>
      <c r="K17" s="341" t="s">
        <v>609</v>
      </c>
    </row>
    <row r="18" spans="1:11" ht="19.5" customHeight="1" x14ac:dyDescent="0.2">
      <c r="A18" s="189"/>
      <c r="B18" s="215" t="s">
        <v>433</v>
      </c>
      <c r="C18" s="209"/>
      <c r="D18" s="210"/>
      <c r="E18" s="211"/>
      <c r="F18" s="216"/>
      <c r="G18" s="213"/>
      <c r="H18" s="216"/>
      <c r="I18" s="205"/>
      <c r="K18" s="342"/>
    </row>
    <row r="19" spans="1:11" ht="12.75" x14ac:dyDescent="0.2">
      <c r="A19" s="189"/>
      <c r="B19" s="214" t="s">
        <v>434</v>
      </c>
      <c r="C19" s="209"/>
      <c r="D19" s="210" t="s">
        <v>305</v>
      </c>
      <c r="E19" s="211"/>
      <c r="F19" s="443">
        <v>312508</v>
      </c>
      <c r="G19" s="213"/>
      <c r="H19" s="443">
        <v>321246</v>
      </c>
      <c r="I19" s="205"/>
      <c r="K19" s="341" t="s">
        <v>610</v>
      </c>
    </row>
    <row r="20" spans="1:11" ht="12.75" x14ac:dyDescent="0.2">
      <c r="A20" s="189"/>
      <c r="B20" s="214" t="s">
        <v>435</v>
      </c>
      <c r="C20" s="209"/>
      <c r="D20" s="210" t="s">
        <v>307</v>
      </c>
      <c r="E20" s="211"/>
      <c r="F20" s="443"/>
      <c r="G20" s="213"/>
      <c r="H20" s="443"/>
      <c r="I20" s="205"/>
      <c r="K20" s="341" t="s">
        <v>610</v>
      </c>
    </row>
    <row r="21" spans="1:11" ht="12.75" x14ac:dyDescent="0.2">
      <c r="A21" s="189"/>
      <c r="B21" s="214" t="s">
        <v>436</v>
      </c>
      <c r="C21" s="209"/>
      <c r="D21" s="210" t="s">
        <v>309</v>
      </c>
      <c r="E21" s="211"/>
      <c r="F21" s="443"/>
      <c r="G21" s="213"/>
      <c r="H21" s="443"/>
      <c r="I21" s="205"/>
      <c r="K21" s="341" t="s">
        <v>610</v>
      </c>
    </row>
    <row r="22" spans="1:11" ht="12.75" x14ac:dyDescent="0.2">
      <c r="A22" s="189"/>
      <c r="B22" s="214" t="s">
        <v>437</v>
      </c>
      <c r="C22" s="209"/>
      <c r="D22" s="210" t="s">
        <v>311</v>
      </c>
      <c r="E22" s="211"/>
      <c r="F22" s="443"/>
      <c r="G22" s="213"/>
      <c r="H22" s="443"/>
      <c r="I22" s="205"/>
      <c r="K22" s="341" t="s">
        <v>610</v>
      </c>
    </row>
    <row r="23" spans="1:11" ht="12.75" x14ac:dyDescent="0.2">
      <c r="A23" s="189"/>
      <c r="B23" s="214" t="s">
        <v>438</v>
      </c>
      <c r="C23" s="209"/>
      <c r="D23" s="210" t="s">
        <v>313</v>
      </c>
      <c r="E23" s="211"/>
      <c r="F23" s="443">
        <v>339541</v>
      </c>
      <c r="G23" s="213"/>
      <c r="H23" s="443">
        <v>334578</v>
      </c>
      <c r="I23" s="205"/>
      <c r="K23" s="341" t="s">
        <v>610</v>
      </c>
    </row>
    <row r="24" spans="1:11" ht="12.75" x14ac:dyDescent="0.2">
      <c r="A24" s="189"/>
      <c r="B24" s="214" t="s">
        <v>439</v>
      </c>
      <c r="C24" s="209"/>
      <c r="D24" s="210" t="s">
        <v>315</v>
      </c>
      <c r="E24" s="211"/>
      <c r="F24" s="443">
        <v>1250</v>
      </c>
      <c r="G24" s="213"/>
      <c r="H24" s="443">
        <v>1250</v>
      </c>
      <c r="I24" s="205"/>
      <c r="K24" s="341" t="s">
        <v>610</v>
      </c>
    </row>
    <row r="25" spans="1:11" ht="12.75" x14ac:dyDescent="0.2">
      <c r="A25" s="189"/>
      <c r="B25" s="214" t="s">
        <v>796</v>
      </c>
      <c r="C25" s="209"/>
      <c r="D25" s="210" t="s">
        <v>317</v>
      </c>
      <c r="E25" s="211"/>
      <c r="F25" s="443">
        <v>266417</v>
      </c>
      <c r="G25" s="213"/>
      <c r="H25" s="443">
        <v>250870</v>
      </c>
      <c r="I25" s="205"/>
      <c r="K25" s="341" t="s">
        <v>610</v>
      </c>
    </row>
    <row r="26" spans="1:11" ht="12.75" x14ac:dyDescent="0.2">
      <c r="A26" s="189"/>
      <c r="B26" s="214" t="s">
        <v>739</v>
      </c>
      <c r="C26" s="209"/>
      <c r="D26" s="210" t="s">
        <v>736</v>
      </c>
      <c r="E26" s="211"/>
      <c r="F26" s="443">
        <v>332420</v>
      </c>
      <c r="G26" s="213"/>
      <c r="H26" s="443">
        <v>385388</v>
      </c>
      <c r="I26" s="205"/>
      <c r="K26" s="341" t="s">
        <v>610</v>
      </c>
    </row>
    <row r="27" spans="1:11" ht="12.75" x14ac:dyDescent="0.2">
      <c r="A27" s="189"/>
      <c r="B27" s="214" t="s">
        <v>740</v>
      </c>
      <c r="C27" s="209"/>
      <c r="D27" s="210" t="s">
        <v>737</v>
      </c>
      <c r="E27" s="211"/>
      <c r="F27" s="443"/>
      <c r="G27" s="213"/>
      <c r="H27" s="443"/>
      <c r="I27" s="205"/>
      <c r="K27" s="341" t="s">
        <v>610</v>
      </c>
    </row>
    <row r="28" spans="1:11" ht="12.75" x14ac:dyDescent="0.2">
      <c r="A28" s="189"/>
      <c r="B28" s="214" t="s">
        <v>741</v>
      </c>
      <c r="C28" s="209"/>
      <c r="D28" s="210" t="s">
        <v>738</v>
      </c>
      <c r="E28" s="211"/>
      <c r="F28" s="443">
        <v>39000</v>
      </c>
      <c r="G28" s="213"/>
      <c r="H28" s="443">
        <v>28000</v>
      </c>
      <c r="I28" s="205"/>
      <c r="K28" s="341" t="s">
        <v>610</v>
      </c>
    </row>
    <row r="29" spans="1:11" ht="12.75" x14ac:dyDescent="0.2">
      <c r="A29" s="189"/>
      <c r="B29" s="214" t="s">
        <v>440</v>
      </c>
      <c r="C29" s="209"/>
      <c r="D29" s="210" t="s">
        <v>319</v>
      </c>
      <c r="E29" s="211"/>
      <c r="F29" s="443"/>
      <c r="G29" s="213"/>
      <c r="H29" s="443">
        <v>100000</v>
      </c>
      <c r="I29" s="205"/>
      <c r="K29" s="341" t="s">
        <v>610</v>
      </c>
    </row>
    <row r="30" spans="1:11" ht="12.75" x14ac:dyDescent="0.2">
      <c r="A30" s="189"/>
      <c r="B30" s="214" t="s">
        <v>441</v>
      </c>
      <c r="C30" s="209"/>
      <c r="D30" s="210" t="s">
        <v>321</v>
      </c>
      <c r="E30" s="211"/>
      <c r="F30" s="443"/>
      <c r="G30" s="213"/>
      <c r="H30" s="443"/>
      <c r="I30" s="205"/>
      <c r="K30" s="341" t="s">
        <v>610</v>
      </c>
    </row>
    <row r="31" spans="1:11" ht="12.75" x14ac:dyDescent="0.2">
      <c r="A31" s="189"/>
      <c r="B31" s="214" t="s">
        <v>442</v>
      </c>
      <c r="C31" s="209"/>
      <c r="D31" s="210" t="s">
        <v>323</v>
      </c>
      <c r="E31" s="211"/>
      <c r="F31" s="443">
        <v>66846</v>
      </c>
      <c r="G31" s="213"/>
      <c r="H31" s="443">
        <v>233</v>
      </c>
      <c r="I31" s="205"/>
      <c r="K31" s="341" t="s">
        <v>610</v>
      </c>
    </row>
    <row r="32" spans="1:11" ht="19.5" customHeight="1" x14ac:dyDescent="0.2">
      <c r="A32" s="189"/>
      <c r="B32" s="217" t="s">
        <v>326</v>
      </c>
      <c r="C32" s="209"/>
      <c r="D32" s="218"/>
      <c r="E32" s="211"/>
      <c r="F32" s="219"/>
      <c r="G32" s="213"/>
      <c r="H32" s="219"/>
      <c r="I32" s="205"/>
      <c r="K32" s="342"/>
    </row>
    <row r="33" spans="1:11" ht="19.5" customHeight="1" x14ac:dyDescent="0.2">
      <c r="A33" s="189"/>
      <c r="B33" s="220" t="s">
        <v>443</v>
      </c>
      <c r="C33" s="209"/>
      <c r="D33" s="218"/>
      <c r="E33" s="211"/>
      <c r="F33" s="219"/>
      <c r="G33" s="213"/>
      <c r="H33" s="219"/>
      <c r="I33" s="205"/>
      <c r="K33" s="342"/>
    </row>
    <row r="34" spans="1:11" ht="12.75" x14ac:dyDescent="0.2">
      <c r="A34" s="189"/>
      <c r="B34" s="214" t="s">
        <v>444</v>
      </c>
      <c r="C34" s="209"/>
      <c r="D34" s="210" t="s">
        <v>327</v>
      </c>
      <c r="E34" s="211"/>
      <c r="F34" s="443"/>
      <c r="G34" s="213"/>
      <c r="H34" s="443"/>
      <c r="I34" s="205"/>
      <c r="K34" s="341" t="s">
        <v>609</v>
      </c>
    </row>
    <row r="35" spans="1:11" ht="12.75" x14ac:dyDescent="0.2">
      <c r="A35" s="189"/>
      <c r="B35" s="214" t="s">
        <v>445</v>
      </c>
      <c r="C35" s="209"/>
      <c r="D35" s="210" t="s">
        <v>329</v>
      </c>
      <c r="E35" s="211"/>
      <c r="F35" s="443">
        <v>9927</v>
      </c>
      <c r="G35" s="213"/>
      <c r="H35" s="443">
        <v>13028</v>
      </c>
      <c r="I35" s="205"/>
      <c r="K35" s="341" t="s">
        <v>609</v>
      </c>
    </row>
    <row r="36" spans="1:11" ht="12.75" x14ac:dyDescent="0.2">
      <c r="A36" s="189"/>
      <c r="B36" s="214" t="s">
        <v>446</v>
      </c>
      <c r="C36" s="209"/>
      <c r="D36" s="210" t="s">
        <v>331</v>
      </c>
      <c r="E36" s="211"/>
      <c r="F36" s="443">
        <v>11128</v>
      </c>
      <c r="G36" s="213"/>
      <c r="H36" s="443">
        <v>23954</v>
      </c>
      <c r="I36" s="205"/>
      <c r="K36" s="341" t="s">
        <v>609</v>
      </c>
    </row>
    <row r="37" spans="1:11" ht="12.75" x14ac:dyDescent="0.2">
      <c r="A37" s="189"/>
      <c r="B37" s="214" t="s">
        <v>447</v>
      </c>
      <c r="C37" s="209"/>
      <c r="D37" s="210" t="s">
        <v>333</v>
      </c>
      <c r="E37" s="211"/>
      <c r="F37" s="443"/>
      <c r="G37" s="213"/>
      <c r="H37" s="443"/>
      <c r="I37" s="205"/>
      <c r="K37" s="341" t="s">
        <v>609</v>
      </c>
    </row>
    <row r="38" spans="1:11" ht="19.5" customHeight="1" x14ac:dyDescent="0.2">
      <c r="A38" s="189"/>
      <c r="B38" s="215" t="s">
        <v>448</v>
      </c>
      <c r="C38" s="209"/>
      <c r="D38" s="218"/>
      <c r="E38" s="211"/>
      <c r="F38" s="219"/>
      <c r="G38" s="213"/>
      <c r="H38" s="219"/>
      <c r="I38" s="205"/>
      <c r="K38" s="342"/>
    </row>
    <row r="39" spans="1:11" ht="12.75" x14ac:dyDescent="0.2">
      <c r="A39" s="189"/>
      <c r="B39" s="214" t="s">
        <v>746</v>
      </c>
      <c r="C39" s="209"/>
      <c r="D39" s="210" t="s">
        <v>743</v>
      </c>
      <c r="E39" s="211"/>
      <c r="F39" s="443">
        <v>1537</v>
      </c>
      <c r="G39" s="213"/>
      <c r="H39" s="443">
        <v>2143</v>
      </c>
      <c r="I39" s="205"/>
      <c r="K39" s="341" t="s">
        <v>610</v>
      </c>
    </row>
    <row r="40" spans="1:11" ht="12.75" x14ac:dyDescent="0.2">
      <c r="A40" s="189"/>
      <c r="B40" s="214" t="s">
        <v>747</v>
      </c>
      <c r="C40" s="209"/>
      <c r="D40" s="210" t="s">
        <v>744</v>
      </c>
      <c r="E40" s="211"/>
      <c r="F40" s="443"/>
      <c r="G40" s="213"/>
      <c r="H40" s="443"/>
      <c r="I40" s="205"/>
      <c r="K40" s="341" t="s">
        <v>610</v>
      </c>
    </row>
    <row r="41" spans="1:11" ht="12.75" x14ac:dyDescent="0.2">
      <c r="A41" s="189"/>
      <c r="B41" s="214" t="s">
        <v>748</v>
      </c>
      <c r="C41" s="209"/>
      <c r="D41" s="210" t="s">
        <v>745</v>
      </c>
      <c r="E41" s="211"/>
      <c r="F41" s="443">
        <v>25136</v>
      </c>
      <c r="G41" s="213"/>
      <c r="H41" s="443">
        <v>31167</v>
      </c>
      <c r="I41" s="205"/>
      <c r="K41" s="341" t="s">
        <v>610</v>
      </c>
    </row>
    <row r="42" spans="1:11" ht="12.75" x14ac:dyDescent="0.2">
      <c r="A42" s="189"/>
      <c r="B42" s="214" t="s">
        <v>752</v>
      </c>
      <c r="C42" s="209"/>
      <c r="D42" s="210" t="s">
        <v>335</v>
      </c>
      <c r="E42" s="211"/>
      <c r="F42" s="443"/>
      <c r="G42" s="213"/>
      <c r="H42" s="443"/>
      <c r="I42" s="205"/>
      <c r="K42" s="341" t="s">
        <v>610</v>
      </c>
    </row>
    <row r="43" spans="1:11" ht="12.75" x14ac:dyDescent="0.2">
      <c r="A43" s="189"/>
      <c r="B43" s="214" t="s">
        <v>753</v>
      </c>
      <c r="C43" s="209"/>
      <c r="D43" s="210" t="s">
        <v>749</v>
      </c>
      <c r="E43" s="211"/>
      <c r="F43" s="443"/>
      <c r="G43" s="213"/>
      <c r="H43" s="443"/>
      <c r="I43" s="205"/>
      <c r="K43" s="341" t="s">
        <v>610</v>
      </c>
    </row>
    <row r="44" spans="1:11" ht="12.75" x14ac:dyDescent="0.2">
      <c r="A44" s="189"/>
      <c r="B44" s="214" t="s">
        <v>754</v>
      </c>
      <c r="C44" s="209"/>
      <c r="D44" s="210" t="s">
        <v>750</v>
      </c>
      <c r="E44" s="211"/>
      <c r="F44" s="443"/>
      <c r="G44" s="213"/>
      <c r="H44" s="443"/>
      <c r="I44" s="205"/>
      <c r="K44" s="341" t="s">
        <v>610</v>
      </c>
    </row>
    <row r="45" spans="1:11" ht="12.75" x14ac:dyDescent="0.2">
      <c r="A45" s="189"/>
      <c r="B45" s="214" t="s">
        <v>755</v>
      </c>
      <c r="C45" s="209"/>
      <c r="D45" s="210" t="s">
        <v>751</v>
      </c>
      <c r="E45" s="211"/>
      <c r="F45" s="443"/>
      <c r="G45" s="213"/>
      <c r="H45" s="443"/>
      <c r="I45" s="205"/>
      <c r="K45" s="341" t="s">
        <v>610</v>
      </c>
    </row>
    <row r="46" spans="1:11" ht="12.75" x14ac:dyDescent="0.2">
      <c r="A46" s="189"/>
      <c r="B46" s="214" t="s">
        <v>449</v>
      </c>
      <c r="C46" s="209"/>
      <c r="D46" s="210" t="s">
        <v>337</v>
      </c>
      <c r="E46" s="211"/>
      <c r="F46" s="443">
        <v>344882</v>
      </c>
      <c r="G46" s="213"/>
      <c r="H46" s="443">
        <v>215176</v>
      </c>
      <c r="I46" s="205"/>
      <c r="K46" s="341" t="s">
        <v>610</v>
      </c>
    </row>
    <row r="47" spans="1:11" ht="12.75" x14ac:dyDescent="0.2">
      <c r="A47" s="189"/>
      <c r="B47" s="214" t="s">
        <v>450</v>
      </c>
      <c r="C47" s="209"/>
      <c r="D47" s="210" t="s">
        <v>339</v>
      </c>
      <c r="E47" s="211"/>
      <c r="F47" s="443">
        <v>1261</v>
      </c>
      <c r="G47" s="213"/>
      <c r="H47" s="443">
        <v>1570</v>
      </c>
      <c r="I47" s="205"/>
      <c r="K47" s="341" t="s">
        <v>610</v>
      </c>
    </row>
    <row r="48" spans="1:11" ht="12.75" x14ac:dyDescent="0.2">
      <c r="A48" s="189"/>
      <c r="B48" s="214" t="s">
        <v>451</v>
      </c>
      <c r="C48" s="209"/>
      <c r="D48" s="210" t="s">
        <v>341</v>
      </c>
      <c r="E48" s="211"/>
      <c r="F48" s="443">
        <v>18963</v>
      </c>
      <c r="G48" s="213"/>
      <c r="H48" s="443">
        <v>19182</v>
      </c>
      <c r="I48" s="205"/>
      <c r="K48" s="341" t="s">
        <v>610</v>
      </c>
    </row>
    <row r="49" spans="1:11" ht="12.75" x14ac:dyDescent="0.2">
      <c r="A49" s="189"/>
      <c r="B49" s="214" t="s">
        <v>452</v>
      </c>
      <c r="C49" s="209"/>
      <c r="D49" s="210" t="s">
        <v>343</v>
      </c>
      <c r="E49" s="211"/>
      <c r="F49" s="443"/>
      <c r="G49" s="213"/>
      <c r="H49" s="443"/>
      <c r="I49" s="205"/>
      <c r="K49" s="341" t="s">
        <v>610</v>
      </c>
    </row>
    <row r="50" spans="1:11" ht="12.75" x14ac:dyDescent="0.2">
      <c r="A50" s="189"/>
      <c r="B50" s="214" t="s">
        <v>453</v>
      </c>
      <c r="C50" s="209"/>
      <c r="D50" s="210" t="s">
        <v>345</v>
      </c>
      <c r="E50" s="211"/>
      <c r="F50" s="443"/>
      <c r="G50" s="213"/>
      <c r="H50" s="443"/>
      <c r="I50" s="205"/>
      <c r="K50" s="341" t="s">
        <v>610</v>
      </c>
    </row>
    <row r="51" spans="1:11" ht="12.75" x14ac:dyDescent="0.2">
      <c r="A51" s="189"/>
      <c r="B51" s="214" t="s">
        <v>454</v>
      </c>
      <c r="C51" s="209"/>
      <c r="D51" s="210" t="s">
        <v>347</v>
      </c>
      <c r="E51" s="211"/>
      <c r="F51" s="443"/>
      <c r="G51" s="213"/>
      <c r="H51" s="443"/>
      <c r="I51" s="205"/>
      <c r="K51" s="341" t="s">
        <v>610</v>
      </c>
    </row>
    <row r="52" spans="1:11" ht="12.75" x14ac:dyDescent="0.2">
      <c r="A52" s="189"/>
      <c r="B52" s="214"/>
      <c r="C52" s="205"/>
      <c r="D52" s="210"/>
      <c r="E52" s="205"/>
      <c r="F52" s="216"/>
      <c r="G52" s="213"/>
      <c r="H52" s="216"/>
      <c r="I52" s="205"/>
      <c r="K52" s="342"/>
    </row>
    <row r="53" spans="1:11" ht="12.75" x14ac:dyDescent="0.2">
      <c r="A53" s="189"/>
      <c r="B53" s="214" t="s">
        <v>350</v>
      </c>
      <c r="C53" s="209"/>
      <c r="D53" s="210" t="s">
        <v>349</v>
      </c>
      <c r="E53" s="211"/>
      <c r="F53" s="212">
        <v>18</v>
      </c>
      <c r="G53" s="213"/>
      <c r="H53" s="212">
        <v>18</v>
      </c>
      <c r="I53" s="205"/>
      <c r="K53" s="341" t="s">
        <v>610</v>
      </c>
    </row>
    <row r="54" spans="1:11" ht="19.5" customHeight="1" x14ac:dyDescent="0.2">
      <c r="A54" s="189"/>
      <c r="B54" s="215" t="s">
        <v>455</v>
      </c>
      <c r="C54" s="205"/>
      <c r="D54" s="210"/>
      <c r="E54" s="205"/>
      <c r="F54" s="213"/>
      <c r="G54" s="213"/>
      <c r="H54" s="213"/>
      <c r="I54" s="205"/>
      <c r="K54" s="342"/>
    </row>
    <row r="55" spans="1:11" ht="12.75" x14ac:dyDescent="0.2">
      <c r="A55" s="189"/>
      <c r="B55" s="221" t="s">
        <v>456</v>
      </c>
      <c r="C55" s="209"/>
      <c r="D55" s="210" t="s">
        <v>351</v>
      </c>
      <c r="E55" s="211"/>
      <c r="F55" s="443"/>
      <c r="G55" s="213"/>
      <c r="H55" s="443">
        <v>213</v>
      </c>
      <c r="I55" s="205"/>
      <c r="K55" s="341" t="s">
        <v>610</v>
      </c>
    </row>
    <row r="56" spans="1:11" ht="12.75" x14ac:dyDescent="0.2">
      <c r="A56" s="189"/>
      <c r="B56" s="221" t="s">
        <v>457</v>
      </c>
      <c r="C56" s="209"/>
      <c r="D56" s="210" t="s">
        <v>353</v>
      </c>
      <c r="E56" s="211"/>
      <c r="F56" s="443">
        <v>2193</v>
      </c>
      <c r="G56" s="213"/>
      <c r="H56" s="443">
        <v>38615</v>
      </c>
      <c r="I56" s="205"/>
      <c r="K56" s="341" t="s">
        <v>610</v>
      </c>
    </row>
    <row r="57" spans="1:11" ht="12.75" x14ac:dyDescent="0.2">
      <c r="A57" s="189"/>
      <c r="B57" s="221" t="s">
        <v>762</v>
      </c>
      <c r="C57" s="209"/>
      <c r="D57" s="210" t="s">
        <v>355</v>
      </c>
      <c r="E57" s="211"/>
      <c r="F57" s="443">
        <v>36265</v>
      </c>
      <c r="G57" s="213"/>
      <c r="H57" s="443">
        <v>68604</v>
      </c>
      <c r="I57" s="205"/>
      <c r="K57" s="341" t="s">
        <v>610</v>
      </c>
    </row>
    <row r="58" spans="1:11" ht="12.75" x14ac:dyDescent="0.2">
      <c r="A58" s="189"/>
      <c r="B58" s="221" t="s">
        <v>759</v>
      </c>
      <c r="C58" s="209"/>
      <c r="D58" s="210" t="s">
        <v>756</v>
      </c>
      <c r="E58" s="211"/>
      <c r="F58" s="443"/>
      <c r="G58" s="213"/>
      <c r="H58" s="443">
        <v>3</v>
      </c>
      <c r="I58" s="205"/>
      <c r="K58" s="341" t="s">
        <v>610</v>
      </c>
    </row>
    <row r="59" spans="1:11" ht="12" customHeight="1" x14ac:dyDescent="0.2">
      <c r="A59" s="189"/>
      <c r="B59" s="221" t="s">
        <v>760</v>
      </c>
      <c r="C59" s="209"/>
      <c r="D59" s="210" t="s">
        <v>757</v>
      </c>
      <c r="E59" s="211"/>
      <c r="F59" s="443">
        <v>4503</v>
      </c>
      <c r="G59" s="213"/>
      <c r="H59" s="443">
        <v>4421</v>
      </c>
      <c r="I59" s="205"/>
      <c r="K59" s="341" t="s">
        <v>610</v>
      </c>
    </row>
    <row r="60" spans="1:11" ht="12.75" x14ac:dyDescent="0.2">
      <c r="A60" s="189"/>
      <c r="B60" s="221" t="s">
        <v>761</v>
      </c>
      <c r="C60" s="209"/>
      <c r="D60" s="210" t="s">
        <v>758</v>
      </c>
      <c r="E60" s="211"/>
      <c r="F60" s="443"/>
      <c r="G60" s="213"/>
      <c r="H60" s="443"/>
      <c r="I60" s="205"/>
      <c r="K60" s="341" t="s">
        <v>610</v>
      </c>
    </row>
    <row r="61" spans="1:11" s="82" customFormat="1" x14ac:dyDescent="0.2">
      <c r="A61" s="222"/>
      <c r="B61" s="223"/>
      <c r="C61" s="205"/>
      <c r="D61" s="202"/>
      <c r="E61" s="205"/>
      <c r="F61" s="213"/>
      <c r="G61" s="213"/>
      <c r="H61" s="213"/>
      <c r="I61" s="205"/>
      <c r="K61" s="343"/>
    </row>
    <row r="62" spans="1:11" ht="12.75" x14ac:dyDescent="0.2">
      <c r="A62" s="196"/>
      <c r="B62" s="83" t="s">
        <v>458</v>
      </c>
      <c r="C62" s="196"/>
      <c r="D62" s="196"/>
      <c r="E62" s="197"/>
      <c r="F62" s="224"/>
      <c r="G62" s="225"/>
      <c r="H62" s="224"/>
      <c r="I62" s="199"/>
      <c r="K62" s="342"/>
    </row>
    <row r="63" spans="1:11" ht="19.5" customHeight="1" x14ac:dyDescent="0.2">
      <c r="A63" s="226"/>
      <c r="B63" s="227" t="s">
        <v>357</v>
      </c>
      <c r="C63" s="205"/>
      <c r="D63" s="202"/>
      <c r="E63" s="228"/>
      <c r="F63" s="229"/>
      <c r="G63" s="213"/>
      <c r="H63" s="229"/>
      <c r="I63" s="205"/>
      <c r="K63" s="342"/>
    </row>
    <row r="64" spans="1:11" ht="19.5" customHeight="1" x14ac:dyDescent="0.2">
      <c r="A64" s="226"/>
      <c r="B64" s="230" t="s">
        <v>488</v>
      </c>
      <c r="C64" s="205"/>
      <c r="D64" s="202"/>
      <c r="E64" s="228"/>
      <c r="F64" s="229"/>
      <c r="G64" s="213"/>
      <c r="H64" s="229"/>
      <c r="I64" s="205"/>
      <c r="K64" s="342"/>
    </row>
    <row r="65" spans="1:11" ht="12.75" x14ac:dyDescent="0.2">
      <c r="A65" s="226"/>
      <c r="B65" s="214" t="s">
        <v>459</v>
      </c>
      <c r="C65" s="205"/>
      <c r="D65" s="210" t="s">
        <v>358</v>
      </c>
      <c r="E65" s="205"/>
      <c r="F65" s="443">
        <v>933612</v>
      </c>
      <c r="G65" s="213"/>
      <c r="H65" s="443">
        <v>940883</v>
      </c>
      <c r="I65" s="205"/>
      <c r="K65" s="341" t="s">
        <v>609</v>
      </c>
    </row>
    <row r="66" spans="1:11" ht="12.75" x14ac:dyDescent="0.2">
      <c r="A66" s="226"/>
      <c r="B66" s="214" t="s">
        <v>460</v>
      </c>
      <c r="C66" s="205"/>
      <c r="D66" s="210" t="s">
        <v>360</v>
      </c>
      <c r="E66" s="205"/>
      <c r="F66" s="443">
        <v>666316</v>
      </c>
      <c r="G66" s="213"/>
      <c r="H66" s="443">
        <v>637887</v>
      </c>
      <c r="I66" s="205"/>
      <c r="K66" s="341" t="s">
        <v>609</v>
      </c>
    </row>
    <row r="67" spans="1:11" ht="12.75" x14ac:dyDescent="0.2">
      <c r="A67" s="226"/>
      <c r="B67" s="214" t="s">
        <v>461</v>
      </c>
      <c r="C67" s="205"/>
      <c r="D67" s="210" t="s">
        <v>362</v>
      </c>
      <c r="E67" s="205"/>
      <c r="F67" s="443">
        <v>99293</v>
      </c>
      <c r="G67" s="213"/>
      <c r="H67" s="443">
        <v>85303</v>
      </c>
      <c r="I67" s="205"/>
      <c r="K67" s="341" t="s">
        <v>609</v>
      </c>
    </row>
    <row r="68" spans="1:11" ht="12.75" x14ac:dyDescent="0.2">
      <c r="A68" s="226"/>
      <c r="B68" s="214"/>
      <c r="C68" s="205"/>
      <c r="D68" s="210"/>
      <c r="E68" s="205"/>
      <c r="F68" s="216"/>
      <c r="G68" s="213"/>
      <c r="H68" s="216"/>
      <c r="I68" s="205"/>
      <c r="K68" s="342"/>
    </row>
    <row r="69" spans="1:11" ht="12.75" x14ac:dyDescent="0.2">
      <c r="A69" s="226"/>
      <c r="B69" s="221" t="s">
        <v>365</v>
      </c>
      <c r="C69" s="205"/>
      <c r="D69" s="210" t="s">
        <v>364</v>
      </c>
      <c r="E69" s="205"/>
      <c r="F69" s="212">
        <v>52862</v>
      </c>
      <c r="G69" s="213"/>
      <c r="H69" s="212">
        <v>76017</v>
      </c>
      <c r="I69" s="205"/>
      <c r="K69" s="341" t="s">
        <v>609</v>
      </c>
    </row>
    <row r="70" spans="1:11" ht="19.5" customHeight="1" x14ac:dyDescent="0.2">
      <c r="A70" s="226"/>
      <c r="B70" s="220" t="s">
        <v>462</v>
      </c>
      <c r="C70" s="205"/>
      <c r="D70" s="210"/>
      <c r="E70" s="205"/>
      <c r="F70" s="213"/>
      <c r="G70" s="213"/>
      <c r="H70" s="213"/>
      <c r="I70" s="205"/>
      <c r="K70" s="342"/>
    </row>
    <row r="71" spans="1:11" ht="12.75" x14ac:dyDescent="0.2">
      <c r="A71" s="226"/>
      <c r="B71" s="214" t="s">
        <v>463</v>
      </c>
      <c r="C71" s="205"/>
      <c r="D71" s="210" t="s">
        <v>366</v>
      </c>
      <c r="E71" s="205"/>
      <c r="F71" s="443"/>
      <c r="G71" s="213"/>
      <c r="H71" s="443"/>
      <c r="I71" s="205"/>
      <c r="K71" s="341" t="s">
        <v>610</v>
      </c>
    </row>
    <row r="72" spans="1:11" ht="12.75" x14ac:dyDescent="0.2">
      <c r="A72" s="226"/>
      <c r="B72" s="214" t="s">
        <v>464</v>
      </c>
      <c r="C72" s="205"/>
      <c r="D72" s="210" t="s">
        <v>368</v>
      </c>
      <c r="E72" s="205"/>
      <c r="F72" s="443"/>
      <c r="G72" s="213"/>
      <c r="H72" s="443"/>
      <c r="I72" s="205"/>
      <c r="K72" s="341" t="s">
        <v>610</v>
      </c>
    </row>
    <row r="73" spans="1:11" ht="12.75" x14ac:dyDescent="0.2">
      <c r="A73" s="226"/>
      <c r="B73" s="214" t="s">
        <v>465</v>
      </c>
      <c r="C73" s="205"/>
      <c r="D73" s="210" t="s">
        <v>370</v>
      </c>
      <c r="E73" s="205"/>
      <c r="F73" s="443">
        <v>543</v>
      </c>
      <c r="G73" s="213"/>
      <c r="H73" s="443">
        <v>363</v>
      </c>
      <c r="I73" s="205"/>
      <c r="K73" s="341" t="s">
        <v>610</v>
      </c>
    </row>
    <row r="74" spans="1:11" ht="12.75" x14ac:dyDescent="0.2">
      <c r="A74" s="226"/>
      <c r="B74" s="214" t="s">
        <v>466</v>
      </c>
      <c r="C74" s="205"/>
      <c r="D74" s="210" t="s">
        <v>372</v>
      </c>
      <c r="E74" s="205"/>
      <c r="F74" s="443"/>
      <c r="G74" s="213"/>
      <c r="H74" s="443"/>
      <c r="I74" s="205"/>
      <c r="K74" s="341" t="s">
        <v>610</v>
      </c>
    </row>
    <row r="75" spans="1:11" ht="12.75" x14ac:dyDescent="0.2">
      <c r="A75" s="226"/>
      <c r="B75" s="214" t="s">
        <v>467</v>
      </c>
      <c r="C75" s="205"/>
      <c r="D75" s="210" t="s">
        <v>374</v>
      </c>
      <c r="E75" s="205"/>
      <c r="F75" s="443"/>
      <c r="G75" s="213"/>
      <c r="H75" s="443"/>
      <c r="I75" s="205"/>
      <c r="K75" s="341" t="s">
        <v>610</v>
      </c>
    </row>
    <row r="76" spans="1:11" ht="12.75" x14ac:dyDescent="0.2">
      <c r="A76" s="226"/>
      <c r="B76" s="214" t="s">
        <v>797</v>
      </c>
      <c r="C76" s="205"/>
      <c r="D76" s="210" t="s">
        <v>782</v>
      </c>
      <c r="E76" s="205"/>
      <c r="F76" s="443"/>
      <c r="G76" s="213"/>
      <c r="H76" s="443"/>
      <c r="I76" s="205"/>
      <c r="K76" s="341" t="s">
        <v>610</v>
      </c>
    </row>
    <row r="77" spans="1:11" ht="12.75" x14ac:dyDescent="0.2">
      <c r="A77" s="226"/>
      <c r="B77" s="214" t="s">
        <v>798</v>
      </c>
      <c r="C77" s="205"/>
      <c r="D77" s="210" t="s">
        <v>783</v>
      </c>
      <c r="E77" s="205"/>
      <c r="F77" s="443"/>
      <c r="G77" s="213"/>
      <c r="H77" s="443"/>
      <c r="I77" s="205"/>
      <c r="K77" s="341" t="s">
        <v>610</v>
      </c>
    </row>
    <row r="78" spans="1:11" ht="12.75" x14ac:dyDescent="0.2">
      <c r="A78" s="226"/>
      <c r="B78" s="214" t="s">
        <v>799</v>
      </c>
      <c r="C78" s="205"/>
      <c r="D78" s="210" t="s">
        <v>784</v>
      </c>
      <c r="E78" s="205"/>
      <c r="F78" s="443">
        <v>11560</v>
      </c>
      <c r="G78" s="213"/>
      <c r="H78" s="443">
        <v>10532</v>
      </c>
      <c r="I78" s="205"/>
      <c r="K78" s="341" t="s">
        <v>610</v>
      </c>
    </row>
    <row r="79" spans="1:11" ht="12.75" x14ac:dyDescent="0.2">
      <c r="A79" s="226"/>
      <c r="B79" s="214" t="s">
        <v>468</v>
      </c>
      <c r="C79" s="205"/>
      <c r="D79" s="210" t="s">
        <v>376</v>
      </c>
      <c r="E79" s="205"/>
      <c r="F79" s="443">
        <v>23742</v>
      </c>
      <c r="G79" s="213"/>
      <c r="H79" s="443">
        <v>19286</v>
      </c>
      <c r="I79" s="205"/>
      <c r="K79" s="341" t="s">
        <v>610</v>
      </c>
    </row>
    <row r="80" spans="1:11" ht="12.75" x14ac:dyDescent="0.2">
      <c r="A80" s="226"/>
      <c r="B80" s="214" t="s">
        <v>469</v>
      </c>
      <c r="C80" s="205"/>
      <c r="D80" s="210" t="s">
        <v>378</v>
      </c>
      <c r="E80" s="205"/>
      <c r="F80" s="443"/>
      <c r="G80" s="213"/>
      <c r="H80" s="443"/>
      <c r="I80" s="205"/>
      <c r="K80" s="341" t="s">
        <v>610</v>
      </c>
    </row>
    <row r="81" spans="1:11" ht="12.75" x14ac:dyDescent="0.2">
      <c r="A81" s="226"/>
      <c r="B81" s="214" t="s">
        <v>470</v>
      </c>
      <c r="C81" s="205"/>
      <c r="D81" s="210" t="s">
        <v>380</v>
      </c>
      <c r="E81" s="205"/>
      <c r="F81" s="443">
        <v>2257</v>
      </c>
      <c r="G81" s="213"/>
      <c r="H81" s="443">
        <v>3563</v>
      </c>
      <c r="I81" s="205"/>
      <c r="K81" s="341" t="s">
        <v>610</v>
      </c>
    </row>
    <row r="82" spans="1:11" ht="12.75" x14ac:dyDescent="0.2">
      <c r="A82" s="226"/>
      <c r="B82" s="231" t="s">
        <v>383</v>
      </c>
      <c r="C82" s="232"/>
      <c r="D82" s="210" t="s">
        <v>382</v>
      </c>
      <c r="E82" s="205"/>
      <c r="F82" s="443"/>
      <c r="G82" s="213"/>
      <c r="H82" s="443"/>
      <c r="I82" s="205"/>
      <c r="K82" s="341" t="s">
        <v>610</v>
      </c>
    </row>
    <row r="83" spans="1:11" ht="12.75" x14ac:dyDescent="0.2">
      <c r="A83" s="226"/>
      <c r="B83" s="231" t="s">
        <v>641</v>
      </c>
      <c r="C83" s="232"/>
      <c r="D83" s="210" t="s">
        <v>619</v>
      </c>
      <c r="E83" s="205"/>
      <c r="F83" s="444"/>
      <c r="G83" s="213"/>
      <c r="H83" s="444"/>
      <c r="I83" s="205"/>
      <c r="K83" s="341" t="s">
        <v>610</v>
      </c>
    </row>
    <row r="84" spans="1:11" ht="19.5" customHeight="1" x14ac:dyDescent="0.2">
      <c r="A84" s="226"/>
      <c r="B84" s="217" t="s">
        <v>385</v>
      </c>
      <c r="C84" s="205"/>
      <c r="D84" s="233"/>
      <c r="E84" s="205"/>
      <c r="F84" s="213"/>
      <c r="G84" s="213"/>
      <c r="H84" s="213"/>
      <c r="I84" s="205"/>
      <c r="J84" s="234"/>
      <c r="K84" s="345"/>
    </row>
    <row r="85" spans="1:11" ht="19.5" customHeight="1" x14ac:dyDescent="0.2">
      <c r="A85" s="226"/>
      <c r="B85" s="220" t="s">
        <v>471</v>
      </c>
      <c r="C85" s="205"/>
      <c r="D85" s="233"/>
      <c r="E85" s="205"/>
      <c r="F85" s="213"/>
      <c r="G85" s="213"/>
      <c r="H85" s="213"/>
      <c r="I85" s="205"/>
      <c r="J85" s="234"/>
      <c r="K85" s="345"/>
    </row>
    <row r="86" spans="1:11" ht="12.75" x14ac:dyDescent="0.2">
      <c r="A86" s="226"/>
      <c r="B86" s="214" t="s">
        <v>800</v>
      </c>
      <c r="C86" s="205"/>
      <c r="D86" s="210" t="s">
        <v>386</v>
      </c>
      <c r="E86" s="205"/>
      <c r="F86" s="212"/>
      <c r="G86" s="213"/>
      <c r="H86" s="212"/>
      <c r="I86" s="205"/>
      <c r="K86" s="341" t="s">
        <v>610</v>
      </c>
    </row>
    <row r="87" spans="1:11" ht="12.75" x14ac:dyDescent="0.2">
      <c r="A87" s="226"/>
      <c r="B87" s="214" t="s">
        <v>801</v>
      </c>
      <c r="C87" s="205"/>
      <c r="D87" s="210" t="s">
        <v>785</v>
      </c>
      <c r="E87" s="205"/>
      <c r="F87" s="212"/>
      <c r="G87" s="213"/>
      <c r="H87" s="212"/>
      <c r="I87" s="205"/>
      <c r="K87" s="341" t="s">
        <v>610</v>
      </c>
    </row>
    <row r="88" spans="1:11" ht="12.75" x14ac:dyDescent="0.2">
      <c r="A88" s="226"/>
      <c r="B88" s="214" t="s">
        <v>802</v>
      </c>
      <c r="C88" s="205"/>
      <c r="D88" s="210" t="s">
        <v>787</v>
      </c>
      <c r="E88" s="205"/>
      <c r="F88" s="212"/>
      <c r="G88" s="213"/>
      <c r="H88" s="212"/>
      <c r="I88" s="205"/>
      <c r="K88" s="341" t="s">
        <v>610</v>
      </c>
    </row>
    <row r="89" spans="1:11" ht="12.75" x14ac:dyDescent="0.2">
      <c r="A89" s="226"/>
      <c r="B89" s="214" t="s">
        <v>803</v>
      </c>
      <c r="C89" s="205"/>
      <c r="D89" s="210" t="s">
        <v>789</v>
      </c>
      <c r="E89" s="205"/>
      <c r="F89" s="212"/>
      <c r="G89" s="213"/>
      <c r="H89" s="212"/>
      <c r="I89" s="205"/>
      <c r="K89" s="341" t="s">
        <v>610</v>
      </c>
    </row>
    <row r="90" spans="1:11" ht="12.75" x14ac:dyDescent="0.2">
      <c r="A90" s="226"/>
      <c r="B90" s="214" t="s">
        <v>472</v>
      </c>
      <c r="C90" s="205"/>
      <c r="D90" s="210" t="s">
        <v>387</v>
      </c>
      <c r="E90" s="205"/>
      <c r="F90" s="212"/>
      <c r="G90" s="213"/>
      <c r="H90" s="212"/>
      <c r="I90" s="205"/>
      <c r="K90" s="341" t="s">
        <v>610</v>
      </c>
    </row>
    <row r="91" spans="1:11" ht="12.75" x14ac:dyDescent="0.2">
      <c r="A91" s="226"/>
      <c r="B91" s="214" t="s">
        <v>473</v>
      </c>
      <c r="C91" s="205"/>
      <c r="D91" s="210" t="s">
        <v>389</v>
      </c>
      <c r="E91" s="205"/>
      <c r="F91" s="212">
        <v>34856</v>
      </c>
      <c r="G91" s="213"/>
      <c r="H91" s="212">
        <v>42854</v>
      </c>
      <c r="I91" s="205"/>
      <c r="K91" s="341" t="s">
        <v>610</v>
      </c>
    </row>
    <row r="92" spans="1:11" ht="19.5" customHeight="1" x14ac:dyDescent="0.2">
      <c r="A92" s="226"/>
      <c r="B92" s="215" t="s">
        <v>474</v>
      </c>
      <c r="C92" s="205"/>
      <c r="D92" s="210"/>
      <c r="E92" s="205"/>
      <c r="F92" s="213"/>
      <c r="G92" s="213"/>
      <c r="H92" s="213"/>
      <c r="I92" s="205"/>
      <c r="K92" s="342"/>
    </row>
    <row r="93" spans="1:11" ht="12.75" x14ac:dyDescent="0.2">
      <c r="A93" s="226"/>
      <c r="B93" s="214" t="s">
        <v>486</v>
      </c>
      <c r="C93" s="205"/>
      <c r="D93" s="210" t="s">
        <v>390</v>
      </c>
      <c r="E93" s="205"/>
      <c r="F93" s="212">
        <v>14819</v>
      </c>
      <c r="G93" s="213"/>
      <c r="H93" s="212">
        <v>16628</v>
      </c>
      <c r="I93" s="205"/>
      <c r="K93" s="341" t="s">
        <v>610</v>
      </c>
    </row>
    <row r="94" spans="1:11" ht="12.75" x14ac:dyDescent="0.2">
      <c r="A94" s="226"/>
      <c r="B94" s="214" t="s">
        <v>475</v>
      </c>
      <c r="C94" s="205"/>
      <c r="D94" s="210" t="s">
        <v>392</v>
      </c>
      <c r="E94" s="205"/>
      <c r="F94" s="212">
        <v>313876</v>
      </c>
      <c r="G94" s="213"/>
      <c r="H94" s="212">
        <v>337043</v>
      </c>
      <c r="I94" s="205"/>
      <c r="K94" s="341" t="s">
        <v>610</v>
      </c>
    </row>
    <row r="95" spans="1:11" ht="12.75" x14ac:dyDescent="0.2">
      <c r="A95" s="226"/>
      <c r="B95" s="214" t="s">
        <v>804</v>
      </c>
      <c r="C95" s="205"/>
      <c r="D95" s="210" t="s">
        <v>394</v>
      </c>
      <c r="E95" s="205"/>
      <c r="F95" s="212">
        <v>119265</v>
      </c>
      <c r="G95" s="213"/>
      <c r="H95" s="212">
        <v>129904</v>
      </c>
      <c r="I95" s="205"/>
      <c r="K95" s="341" t="s">
        <v>610</v>
      </c>
    </row>
    <row r="96" spans="1:11" ht="12.75" x14ac:dyDescent="0.2">
      <c r="A96" s="226"/>
      <c r="B96" s="214" t="s">
        <v>766</v>
      </c>
      <c r="C96" s="205"/>
      <c r="D96" s="210" t="s">
        <v>763</v>
      </c>
      <c r="E96" s="205"/>
      <c r="F96" s="212">
        <v>14380</v>
      </c>
      <c r="G96" s="213"/>
      <c r="H96" s="212">
        <v>14160</v>
      </c>
      <c r="I96" s="205"/>
      <c r="K96" s="341" t="s">
        <v>610</v>
      </c>
    </row>
    <row r="97" spans="1:11" ht="12.75" x14ac:dyDescent="0.2">
      <c r="A97" s="226"/>
      <c r="B97" s="214" t="s">
        <v>767</v>
      </c>
      <c r="C97" s="205"/>
      <c r="D97" s="210" t="s">
        <v>764</v>
      </c>
      <c r="E97" s="205"/>
      <c r="F97" s="212">
        <v>3853</v>
      </c>
      <c r="G97" s="213"/>
      <c r="H97" s="212">
        <v>3503</v>
      </c>
      <c r="I97" s="205"/>
      <c r="K97" s="341" t="s">
        <v>610</v>
      </c>
    </row>
    <row r="98" spans="1:11" ht="12.75" x14ac:dyDescent="0.2">
      <c r="A98" s="226"/>
      <c r="B98" s="221" t="s">
        <v>768</v>
      </c>
      <c r="C98" s="205"/>
      <c r="D98" s="210" t="s">
        <v>765</v>
      </c>
      <c r="E98" s="205"/>
      <c r="F98" s="212">
        <v>1398</v>
      </c>
      <c r="G98" s="213"/>
      <c r="H98" s="212">
        <v>4127</v>
      </c>
      <c r="I98" s="205"/>
      <c r="K98" s="341" t="s">
        <v>610</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476</v>
      </c>
      <c r="C100" s="236"/>
      <c r="D100" s="237"/>
      <c r="E100" s="238"/>
      <c r="F100" s="239"/>
      <c r="G100" s="240"/>
      <c r="H100" s="239"/>
      <c r="I100" s="240"/>
    </row>
    <row r="101" spans="1:11" ht="12.75" x14ac:dyDescent="0.2">
      <c r="A101" s="226"/>
      <c r="B101" s="241" t="s">
        <v>477</v>
      </c>
      <c r="C101" s="209"/>
      <c r="D101" s="210" t="s">
        <v>478</v>
      </c>
      <c r="E101" s="211"/>
      <c r="F101" s="242">
        <f>SUM(F7:F9,F11:F17,F19:F31,F34:F37,F39:F51,F53,F55:F60,)</f>
        <v>2292633</v>
      </c>
      <c r="G101" s="213"/>
      <c r="H101" s="242">
        <f>SUM(H7:H9,H11:H17,H19:H31,H34:H37,H39:H51,H53,H55:H60,)</f>
        <v>2322055</v>
      </c>
      <c r="I101" s="205"/>
    </row>
    <row r="102" spans="1:11" ht="13.5" thickBot="1" x14ac:dyDescent="0.25">
      <c r="A102" s="226"/>
      <c r="B102" s="243" t="s">
        <v>479</v>
      </c>
      <c r="C102" s="240"/>
      <c r="D102" s="244" t="s">
        <v>480</v>
      </c>
      <c r="E102" s="245"/>
      <c r="F102" s="246">
        <f>SUM(F65:F67,F69,F71:F83,F86:F91,F93:F98,)</f>
        <v>2292632</v>
      </c>
      <c r="G102" s="247"/>
      <c r="H102" s="246">
        <f>SUM(H65:H67,H69,H71:H83,H86:H91,H93:H98,)</f>
        <v>2322053</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ColWidth="9.140625"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59" t="str">
        <f>VLOOKUP('4.Informatie'!$C$8,'8.Akkoordverklaring'!$I$66:$J$72,2,0)</f>
        <v>Verklaring Iv3 bij jaarrapportage 2025, provincie Provincie Limburg</v>
      </c>
      <c r="B1" s="559"/>
      <c r="C1" s="516" t="s">
        <v>481</v>
      </c>
      <c r="D1" s="516"/>
      <c r="E1" s="3" t="s">
        <v>570</v>
      </c>
      <c r="F1" s="3" t="s">
        <v>575</v>
      </c>
    </row>
    <row r="2" spans="1:10" ht="15" customHeight="1" x14ac:dyDescent="0.2">
      <c r="A2" s="568"/>
      <c r="B2" s="568"/>
      <c r="C2" s="568"/>
      <c r="D2" s="568"/>
    </row>
    <row r="3" spans="1:10" s="21" customFormat="1" ht="24.75" customHeight="1" x14ac:dyDescent="0.2">
      <c r="A3" s="265" t="s">
        <v>668</v>
      </c>
      <c r="B3" s="265"/>
      <c r="C3" s="266"/>
      <c r="D3" s="267"/>
    </row>
    <row r="4" spans="1:10" ht="79.5" customHeight="1" x14ac:dyDescent="0.2">
      <c r="A4" s="560" t="s">
        <v>680</v>
      </c>
      <c r="B4" s="560"/>
      <c r="C4" s="561"/>
      <c r="D4" s="561"/>
    </row>
    <row r="5" spans="1:10" x14ac:dyDescent="0.2">
      <c r="A5" s="569" t="str">
        <f>"Het betreft de informatie over: "&amp;VLOOKUP('4.Informatie'!$C$8,'8.Akkoordverklaring'!$I$67:$K$72,2,0)</f>
        <v>Het betreft de informatie over: Verklaring Iv3 bij jaarrapportage 2025, provincie Provincie Limburg</v>
      </c>
      <c r="B5" s="569"/>
      <c r="C5" s="569"/>
      <c r="D5" s="569"/>
      <c r="E5" s="3" t="s">
        <v>570</v>
      </c>
      <c r="F5" s="3" t="s">
        <v>575</v>
      </c>
    </row>
    <row r="6" spans="1:10" x14ac:dyDescent="0.2">
      <c r="A6" s="270"/>
      <c r="B6" s="270"/>
      <c r="C6" s="270"/>
      <c r="D6" s="271"/>
      <c r="F6" s="265"/>
      <c r="H6" s="252"/>
      <c r="I6" s="251"/>
      <c r="J6" s="251"/>
    </row>
    <row r="7" spans="1:10" ht="25.5" customHeight="1" x14ac:dyDescent="0.2">
      <c r="A7" s="562" t="s">
        <v>482</v>
      </c>
      <c r="B7" s="562"/>
      <c r="C7" s="562"/>
      <c r="D7" s="562"/>
      <c r="F7" s="265"/>
      <c r="H7" s="251"/>
      <c r="I7" s="251"/>
      <c r="J7" s="251"/>
    </row>
    <row r="8" spans="1:10" ht="12.75" customHeight="1" x14ac:dyDescent="0.2">
      <c r="A8" s="270"/>
      <c r="B8" s="270"/>
      <c r="C8" s="270"/>
      <c r="D8" s="271"/>
      <c r="F8" s="265"/>
      <c r="H8" s="251"/>
      <c r="I8" s="251"/>
      <c r="J8" s="251"/>
    </row>
    <row r="9" spans="1:10" ht="45.75" customHeight="1" x14ac:dyDescent="0.2">
      <c r="A9" s="272" t="s">
        <v>24</v>
      </c>
      <c r="B9" s="563" t="s">
        <v>681</v>
      </c>
      <c r="C9" s="564"/>
      <c r="D9" s="564"/>
      <c r="F9" s="265"/>
      <c r="H9" s="251"/>
      <c r="I9" s="251"/>
      <c r="J9" s="251"/>
    </row>
    <row r="10" spans="1:10" ht="39" customHeight="1" x14ac:dyDescent="0.2">
      <c r="A10" s="273"/>
      <c r="B10" s="269" t="s">
        <v>505</v>
      </c>
      <c r="C10" s="565" t="s">
        <v>701</v>
      </c>
      <c r="D10" s="566"/>
      <c r="F10" s="265"/>
    </row>
    <row r="11" spans="1:10" ht="39" customHeight="1" x14ac:dyDescent="0.2">
      <c r="A11" s="270"/>
      <c r="B11" s="269" t="s">
        <v>505</v>
      </c>
      <c r="C11" s="565" t="s">
        <v>702</v>
      </c>
      <c r="D11" s="566"/>
      <c r="F11" s="265"/>
    </row>
    <row r="12" spans="1:10" ht="54" customHeight="1" x14ac:dyDescent="0.2">
      <c r="A12" s="270"/>
      <c r="B12" s="269" t="s">
        <v>505</v>
      </c>
      <c r="C12" s="565" t="s">
        <v>703</v>
      </c>
      <c r="D12" s="566"/>
    </row>
    <row r="13" spans="1:10" ht="77.25" customHeight="1" x14ac:dyDescent="0.2">
      <c r="A13" s="272" t="str">
        <f>IF('4.Informatie'!$C$8=0,"","-")</f>
        <v>-</v>
      </c>
      <c r="B13" s="567" t="str">
        <f>VLOOKUP('4.Informatie'!$C$8,'8.Akkoordverklaring'!$I$67:$L$72,4,0)</f>
        <v>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v>
      </c>
      <c r="C13" s="567"/>
      <c r="D13" s="567"/>
      <c r="E13" s="37" t="s">
        <v>570</v>
      </c>
      <c r="F13" s="37" t="s">
        <v>603</v>
      </c>
    </row>
    <row r="14" spans="1:10" x14ac:dyDescent="0.2">
      <c r="B14" s="3"/>
    </row>
    <row r="15" spans="1:10" x14ac:dyDescent="0.2">
      <c r="B15" s="3"/>
    </row>
    <row r="16" spans="1:10" x14ac:dyDescent="0.2">
      <c r="A16" s="25" t="s">
        <v>483</v>
      </c>
      <c r="B16" s="3"/>
    </row>
    <row r="18" spans="1:2" x14ac:dyDescent="0.2">
      <c r="A18" s="25" t="s">
        <v>484</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572</v>
      </c>
      <c r="K66" s="21" t="s">
        <v>573</v>
      </c>
      <c r="L66" s="21" t="s">
        <v>574</v>
      </c>
    </row>
    <row r="67" spans="9:12" x14ac:dyDescent="0.2">
      <c r="I67" s="3">
        <v>0</v>
      </c>
      <c r="J67" s="275" t="str">
        <f>"Verklaring Iv3 bij begroting "&amp;'4.Informatie'!$C$7&amp;", provincie "&amp;'4.Informatie'!$C$5</f>
        <v>Verklaring Iv3 bij begroting 2025, provincie Provincie Limburg</v>
      </c>
      <c r="K67" s="265" t="str">
        <f>"de begroting van het jaar "&amp;'4.Informatie'!$C$7</f>
        <v>de begroting van het jaar 2025</v>
      </c>
      <c r="L67" s="3" t="s">
        <v>571</v>
      </c>
    </row>
    <row r="68" spans="9:12" x14ac:dyDescent="0.2">
      <c r="I68" s="3">
        <v>1</v>
      </c>
      <c r="J68" s="275" t="str">
        <f>"Verklaring Iv3 bij kwartaalrapportage "&amp;'4.Informatie'!$C$7&amp;", provincie "&amp;'4.Informatie'!$C$5</f>
        <v>Verklaring Iv3 bij kwartaalrapportage 2025, provincie Provincie Limburg</v>
      </c>
      <c r="K68" s="265" t="str">
        <f>"het eerste kwartaal van het jaar "&amp;'4.Informatie'!$C$7</f>
        <v>het eerste kwartaal van het jaar 2025</v>
      </c>
      <c r="L68" s="276" t="s">
        <v>704</v>
      </c>
    </row>
    <row r="69" spans="9:12" x14ac:dyDescent="0.2">
      <c r="I69" s="3">
        <v>2</v>
      </c>
      <c r="J69" s="275" t="str">
        <f>"Verklaring Iv3 bij kwartaalrapportage "&amp;'4.Informatie'!$C$7&amp;", provincie "&amp;'4.Informatie'!$C$5</f>
        <v>Verklaring Iv3 bij kwartaalrapportage 2025, provincie Provincie Limburg</v>
      </c>
      <c r="K69" s="265" t="str">
        <f>"het tweede kwartaal van het jaar "&amp;'4.Informatie'!$C$7</f>
        <v>het tweede kwartaal van het jaar 2025</v>
      </c>
      <c r="L69" s="276" t="s">
        <v>705</v>
      </c>
    </row>
    <row r="70" spans="9:12" x14ac:dyDescent="0.2">
      <c r="I70" s="3">
        <v>3</v>
      </c>
      <c r="J70" s="275" t="str">
        <f>"Verklaring Iv3 bij kwartaalrapportage "&amp;'4.Informatie'!$C$7&amp;", provincie "&amp;'4.Informatie'!$C$5</f>
        <v>Verklaring Iv3 bij kwartaalrapportage 2025, provincie Provincie Limburg</v>
      </c>
      <c r="K70" s="265" t="str">
        <f>"het derde kwartaal van het jaar "&amp;'4.Informatie'!$C$7</f>
        <v>het derde kwartaal van het jaar 2025</v>
      </c>
      <c r="L70" s="276" t="s">
        <v>704</v>
      </c>
    </row>
    <row r="71" spans="9:12" x14ac:dyDescent="0.2">
      <c r="I71" s="333">
        <v>4</v>
      </c>
      <c r="J71" s="275" t="str">
        <f>"Verklaring Iv3 bij kwartaalrapportage "&amp;'4.Informatie'!$C$7&amp;", provincie "&amp;'4.Informatie'!$C$5</f>
        <v>Verklaring Iv3 bij kwartaalrapportage 2025, provincie Provincie Limburg</v>
      </c>
      <c r="K71" s="265" t="str">
        <f>"het vierde kwartaal van het jaar "&amp;'4.Informatie'!$C$7</f>
        <v>het vierde kwartaal van het jaar 2025</v>
      </c>
      <c r="L71" s="276" t="s">
        <v>706</v>
      </c>
    </row>
    <row r="72" spans="9:12" x14ac:dyDescent="0.2">
      <c r="I72" s="3">
        <v>5</v>
      </c>
      <c r="J72" s="275" t="str">
        <f>"Verklaring Iv3 bij jaarrapportage "&amp;'4.Informatie'!$C$7&amp;", provincie "&amp;'4.Informatie'!$C$5</f>
        <v>Verklaring Iv3 bij jaarrapportage 2025, provincie Provincie Limburg</v>
      </c>
      <c r="K72" s="265" t="str">
        <f>"de rekening van het jaar "&amp;'4.Informatie'!$C$7</f>
        <v>de rekening van het jaar 2025</v>
      </c>
      <c r="L72" s="276" t="s">
        <v>707</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zoomScaleNormal="100" workbookViewId="0">
      <selection activeCell="M93" sqref="M93"/>
    </sheetView>
  </sheetViews>
  <sheetFormatPr defaultColWidth="9.140625"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0" t="s">
        <v>504</v>
      </c>
      <c r="B1" s="571"/>
      <c r="C1" s="571"/>
      <c r="D1" s="571"/>
      <c r="E1" s="571"/>
    </row>
    <row r="2" spans="1:7" ht="7.5" customHeight="1" x14ac:dyDescent="0.25">
      <c r="A2" s="562"/>
      <c r="B2" s="572"/>
      <c r="C2" s="572"/>
      <c r="D2" s="572"/>
      <c r="E2" s="572"/>
    </row>
    <row r="3" spans="1:7" ht="28.5" customHeight="1" x14ac:dyDescent="0.25">
      <c r="A3" s="574" t="s">
        <v>867</v>
      </c>
      <c r="B3" s="575"/>
      <c r="C3" s="575"/>
      <c r="D3" s="575"/>
      <c r="E3" s="575"/>
    </row>
    <row r="4" spans="1:7" ht="7.5" customHeight="1" x14ac:dyDescent="0.25">
      <c r="A4" s="346"/>
      <c r="B4" s="347"/>
      <c r="C4" s="347"/>
      <c r="D4" s="347"/>
      <c r="E4" s="347"/>
    </row>
    <row r="5" spans="1:7" ht="79.5" customHeight="1" x14ac:dyDescent="0.2">
      <c r="A5" s="573" t="s">
        <v>669</v>
      </c>
      <c r="B5" s="449"/>
      <c r="C5" s="449"/>
      <c r="D5" s="449"/>
      <c r="E5" s="449"/>
    </row>
    <row r="6" spans="1:7" ht="7.5" customHeight="1" x14ac:dyDescent="0.25">
      <c r="A6" s="574"/>
      <c r="B6" s="575"/>
      <c r="C6" s="575"/>
      <c r="D6" s="575"/>
      <c r="E6" s="575"/>
    </row>
    <row r="7" spans="1:7" ht="93" customHeight="1" x14ac:dyDescent="0.2">
      <c r="A7" s="578" t="s">
        <v>627</v>
      </c>
      <c r="B7" s="579"/>
      <c r="C7" s="579"/>
      <c r="D7" s="579"/>
      <c r="E7" s="579"/>
    </row>
    <row r="8" spans="1:7" ht="7.5" customHeight="1" x14ac:dyDescent="0.25">
      <c r="A8" s="346"/>
      <c r="B8" s="347"/>
      <c r="C8" s="347"/>
      <c r="D8" s="347"/>
      <c r="E8" s="347"/>
    </row>
    <row r="9" spans="1:7" ht="66.75" customHeight="1" x14ac:dyDescent="0.25">
      <c r="A9" s="574" t="s">
        <v>615</v>
      </c>
      <c r="B9" s="575"/>
      <c r="C9" s="575"/>
      <c r="D9" s="575"/>
      <c r="E9" s="575"/>
    </row>
    <row r="10" spans="1:7" x14ac:dyDescent="0.2">
      <c r="A10" s="266"/>
      <c r="B10" s="266"/>
      <c r="C10" s="266"/>
      <c r="D10" s="266"/>
      <c r="E10" s="266"/>
    </row>
    <row r="11" spans="1:7" x14ac:dyDescent="0.2">
      <c r="A11" s="268"/>
      <c r="B11" s="268"/>
      <c r="C11" s="268"/>
      <c r="D11" s="268"/>
      <c r="E11" s="268"/>
    </row>
    <row r="12" spans="1:7" x14ac:dyDescent="0.2">
      <c r="A12" s="277" t="s">
        <v>506</v>
      </c>
      <c r="B12" s="278"/>
      <c r="C12" s="288"/>
      <c r="D12" s="288"/>
      <c r="E12" s="288"/>
      <c r="F12" s="288"/>
      <c r="G12" s="288"/>
    </row>
    <row r="13" spans="1:7" ht="41.25" customHeight="1" x14ac:dyDescent="0.2">
      <c r="A13" s="344" t="s">
        <v>608</v>
      </c>
      <c r="B13" s="279" t="s">
        <v>507</v>
      </c>
      <c r="C13" s="334" t="s">
        <v>61</v>
      </c>
      <c r="D13" s="335" t="s">
        <v>509</v>
      </c>
      <c r="E13" s="335" t="s">
        <v>508</v>
      </c>
      <c r="F13" s="336" t="s">
        <v>604</v>
      </c>
      <c r="G13" s="288"/>
    </row>
    <row r="14" spans="1:7" x14ac:dyDescent="0.2">
      <c r="A14" s="288"/>
      <c r="B14" s="289">
        <v>1</v>
      </c>
      <c r="C14" s="280" t="s">
        <v>510</v>
      </c>
      <c r="D14" s="281" t="str">
        <f>+D32</f>
        <v>voldoende</v>
      </c>
      <c r="E14" s="319">
        <f>+D31</f>
        <v>3.741330186778715E-4</v>
      </c>
      <c r="F14" s="281" t="s">
        <v>584</v>
      </c>
      <c r="G14" s="288"/>
    </row>
    <row r="15" spans="1:7" x14ac:dyDescent="0.2">
      <c r="A15" s="288"/>
      <c r="B15" s="289">
        <v>2</v>
      </c>
      <c r="C15" s="292" t="s">
        <v>679</v>
      </c>
      <c r="D15" s="290" t="str">
        <f>+D99</f>
        <v>voldoende</v>
      </c>
      <c r="E15" s="319">
        <f>+F98</f>
        <v>0</v>
      </c>
      <c r="F15" s="290" t="s">
        <v>584</v>
      </c>
      <c r="G15" s="288"/>
    </row>
    <row r="16" spans="1:7" x14ac:dyDescent="0.2">
      <c r="A16" s="288"/>
      <c r="B16" s="289">
        <v>3</v>
      </c>
      <c r="C16" s="280" t="s">
        <v>511</v>
      </c>
      <c r="D16" s="290" t="str">
        <f>+D184</f>
        <v>voldoende</v>
      </c>
      <c r="E16" s="319">
        <f>+K183</f>
        <v>5.3077071433525345E-4</v>
      </c>
      <c r="F16" s="290" t="s">
        <v>585</v>
      </c>
      <c r="G16" s="288"/>
    </row>
    <row r="17" spans="1:7" x14ac:dyDescent="0.2">
      <c r="A17" s="288"/>
      <c r="B17" s="289">
        <v>4</v>
      </c>
      <c r="C17" s="280" t="s">
        <v>512</v>
      </c>
      <c r="D17" s="290" t="str">
        <f>+D198</f>
        <v>voldoende</v>
      </c>
      <c r="E17" s="319">
        <f>+F197</f>
        <v>3.9172046827383981E-4</v>
      </c>
      <c r="F17" s="290" t="s">
        <v>584</v>
      </c>
      <c r="G17" s="288"/>
    </row>
    <row r="18" spans="1:7" x14ac:dyDescent="0.2">
      <c r="A18" s="288"/>
      <c r="B18" s="289">
        <v>5</v>
      </c>
      <c r="C18" s="280" t="s">
        <v>513</v>
      </c>
      <c r="D18" s="290" t="str">
        <f>+D212</f>
        <v>voldoende</v>
      </c>
      <c r="E18" s="319">
        <f>+F211</f>
        <v>3.5174899191936634E-5</v>
      </c>
      <c r="F18" s="290" t="s">
        <v>584</v>
      </c>
      <c r="G18" s="288"/>
    </row>
    <row r="19" spans="1:7" ht="25.5" customHeight="1" x14ac:dyDescent="0.2">
      <c r="A19" s="288"/>
      <c r="B19" s="354">
        <v>6</v>
      </c>
      <c r="C19" s="357" t="s">
        <v>626</v>
      </c>
      <c r="D19" s="355" t="str">
        <f>+D221</f>
        <v>voldoende</v>
      </c>
      <c r="E19" s="356">
        <f>+F219</f>
        <v>9</v>
      </c>
      <c r="F19" s="355" t="s">
        <v>586</v>
      </c>
      <c r="G19" s="288"/>
    </row>
    <row r="20" spans="1:7" x14ac:dyDescent="0.2">
      <c r="A20" s="288"/>
      <c r="B20" s="289">
        <v>7</v>
      </c>
      <c r="C20" s="280" t="s">
        <v>514</v>
      </c>
      <c r="D20" s="290" t="str">
        <f>+D230</f>
        <v>voldoende</v>
      </c>
      <c r="E20" s="320">
        <f>+F228</f>
        <v>1</v>
      </c>
      <c r="F20" s="290" t="s">
        <v>587</v>
      </c>
      <c r="G20" s="288"/>
    </row>
    <row r="21" spans="1:7" x14ac:dyDescent="0.2">
      <c r="A21" s="288"/>
      <c r="B21" s="289">
        <v>8</v>
      </c>
      <c r="C21" s="280" t="s">
        <v>515</v>
      </c>
      <c r="D21" s="290" t="str">
        <f>+D239</f>
        <v>voldoende</v>
      </c>
      <c r="E21" s="320">
        <f>+F237</f>
        <v>2</v>
      </c>
      <c r="F21" s="290" t="s">
        <v>587</v>
      </c>
      <c r="G21" s="288"/>
    </row>
    <row r="22" spans="1:7" x14ac:dyDescent="0.2">
      <c r="A22" s="288"/>
      <c r="B22" s="289">
        <v>9</v>
      </c>
      <c r="C22" s="280" t="s">
        <v>516</v>
      </c>
      <c r="D22" s="290" t="str">
        <f>+D249</f>
        <v>voldoende</v>
      </c>
      <c r="E22" s="320">
        <f>+F247</f>
        <v>0</v>
      </c>
      <c r="F22" s="317" t="s">
        <v>584</v>
      </c>
      <c r="G22" s="288"/>
    </row>
    <row r="23" spans="1:7" x14ac:dyDescent="0.2">
      <c r="A23" s="288"/>
      <c r="B23" s="291"/>
      <c r="C23" s="282" t="s">
        <v>517</v>
      </c>
      <c r="D23" s="580" t="str">
        <f>+IF(OR(D14="onvoldoende",D15="onvoldoende",D16="onvoldoende",D17="onvoldoende",D18="onvoldoende",D19="onvoldoende",D20="onvoldoende",D21="onvoldoende",D22="onvoldoende"),"onvoldoende","voldoende")</f>
        <v>voldoende</v>
      </c>
      <c r="E23" s="580"/>
      <c r="F23" s="316"/>
      <c r="G23" s="288"/>
    </row>
    <row r="24" spans="1:7" ht="40.5" customHeight="1" x14ac:dyDescent="0.2">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518</v>
      </c>
      <c r="B26" s="288"/>
      <c r="C26" s="288" t="s">
        <v>510</v>
      </c>
      <c r="D26" s="288"/>
      <c r="E26" s="288"/>
      <c r="F26" s="288"/>
    </row>
    <row r="27" spans="1:7" x14ac:dyDescent="0.2">
      <c r="A27" s="288"/>
      <c r="B27" s="280" t="s">
        <v>519</v>
      </c>
      <c r="C27" s="280" t="s">
        <v>520</v>
      </c>
      <c r="D27" s="577">
        <f>IF('4.Informatie'!C8=0,"-",SUM('5.Verdelingsmatrix lasten'!$C$174:$AG$174))</f>
        <v>625446</v>
      </c>
      <c r="E27" s="577"/>
      <c r="F27" s="288"/>
    </row>
    <row r="28" spans="1:7" x14ac:dyDescent="0.2">
      <c r="A28" s="288"/>
      <c r="B28" s="280" t="s">
        <v>521</v>
      </c>
      <c r="C28" s="280" t="s">
        <v>522</v>
      </c>
      <c r="D28" s="577">
        <f>IF('4.Informatie'!C8=0,"-",SUM('6.Verdelingsmatrix baten'!$C$174:$AI$174)-'9.Eindoordeel'!$D$27)</f>
        <v>-8914</v>
      </c>
      <c r="E28" s="577"/>
      <c r="F28" s="288"/>
    </row>
    <row r="29" spans="1:7" x14ac:dyDescent="0.2">
      <c r="A29" s="288"/>
      <c r="B29" s="280" t="s">
        <v>523</v>
      </c>
      <c r="C29" s="280" t="s">
        <v>524</v>
      </c>
      <c r="D29" s="577">
        <f>IF('4.Informatie'!C8=0,"-",'5.Verdelingsmatrix lasten'!$AH$174-'6.Verdelingsmatrix baten'!$AJ$174)</f>
        <v>-9148</v>
      </c>
      <c r="E29" s="577"/>
      <c r="F29" s="288"/>
    </row>
    <row r="30" spans="1:7" x14ac:dyDescent="0.2">
      <c r="A30" s="288"/>
      <c r="B30" s="280" t="s">
        <v>569</v>
      </c>
      <c r="C30" s="280" t="s">
        <v>525</v>
      </c>
      <c r="D30" s="577">
        <f>IF('4.Informatie'!C8=0,"-",ABS(D28-D29))</f>
        <v>234</v>
      </c>
      <c r="E30" s="577"/>
      <c r="F30" s="288"/>
    </row>
    <row r="31" spans="1:7" x14ac:dyDescent="0.2">
      <c r="A31" s="288"/>
      <c r="B31" s="280" t="s">
        <v>526</v>
      </c>
      <c r="C31" s="280" t="s">
        <v>527</v>
      </c>
      <c r="D31" s="581">
        <f>IF('4.Informatie'!C8=0,"-",IF(ISERROR(D30/D27),1,D30/D27))</f>
        <v>3.741330186778715E-4</v>
      </c>
      <c r="E31" s="581"/>
      <c r="F31" s="288"/>
    </row>
    <row r="32" spans="1:7" x14ac:dyDescent="0.2">
      <c r="A32" s="288"/>
      <c r="B32" s="292"/>
      <c r="C32" s="284" t="s">
        <v>528</v>
      </c>
      <c r="D32" s="576" t="str">
        <f>IF('4.Informatie'!C8&lt;&gt;0,IF(D31&lt;=0.01,"voldoende","onvoldoende"),"nvt")</f>
        <v>voldoende</v>
      </c>
      <c r="E32" s="576"/>
      <c r="F32" s="288"/>
    </row>
    <row r="33" spans="1:7" x14ac:dyDescent="0.2">
      <c r="A33" s="288"/>
      <c r="B33" s="288"/>
      <c r="C33" s="288"/>
      <c r="D33" s="288"/>
      <c r="E33" s="288"/>
      <c r="F33" s="288"/>
    </row>
    <row r="35" spans="1:7" x14ac:dyDescent="0.2">
      <c r="A35" s="288" t="s">
        <v>529</v>
      </c>
      <c r="B35" s="288"/>
      <c r="C35" s="288" t="s">
        <v>530</v>
      </c>
      <c r="D35" s="288"/>
      <c r="E35" s="288"/>
      <c r="F35" s="288"/>
      <c r="G35" s="288"/>
    </row>
    <row r="36" spans="1:7" x14ac:dyDescent="0.2">
      <c r="A36" s="288"/>
      <c r="B36" s="292"/>
      <c r="C36" s="289" t="s">
        <v>531</v>
      </c>
      <c r="D36" s="284" t="s">
        <v>677</v>
      </c>
      <c r="E36" s="284" t="s">
        <v>678</v>
      </c>
      <c r="F36" s="284"/>
      <c r="G36" s="288"/>
    </row>
    <row r="37" spans="1:7" x14ac:dyDescent="0.2">
      <c r="A37" s="288"/>
      <c r="B37" s="292"/>
      <c r="C37" s="289"/>
      <c r="D37" s="284" t="s">
        <v>519</v>
      </c>
      <c r="E37" s="284" t="s">
        <v>521</v>
      </c>
      <c r="F37" s="284" t="s">
        <v>532</v>
      </c>
      <c r="G37" s="288"/>
    </row>
    <row r="38" spans="1:7" x14ac:dyDescent="0.2">
      <c r="A38" s="288"/>
      <c r="B38" s="293"/>
      <c r="C38" s="291" t="s">
        <v>305</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307</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309</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311</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313</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315</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317</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736</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737</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738</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319</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321</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323</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743</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744</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745</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335</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749</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750</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751</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337</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339</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341</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343</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345</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347</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349</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351</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353</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355</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756</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757</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758</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366</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368</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370</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372</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374</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782</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783</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784</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376</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378</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380</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382</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619</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386</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785</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787</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789</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387</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389</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390</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392</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394</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763</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764</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765</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519</v>
      </c>
      <c r="C96" s="284" t="s">
        <v>533</v>
      </c>
      <c r="D96" s="322"/>
      <c r="E96" s="322"/>
      <c r="F96" s="324">
        <f>IF('4.Informatie'!C8=0,"-",SUM(F38:F95))</f>
        <v>0</v>
      </c>
      <c r="G96" s="288"/>
    </row>
    <row r="97" spans="1:12" x14ac:dyDescent="0.2">
      <c r="A97" s="288"/>
      <c r="B97" s="292" t="s">
        <v>521</v>
      </c>
      <c r="C97" s="284" t="s">
        <v>520</v>
      </c>
      <c r="D97" s="322"/>
      <c r="E97" s="322"/>
      <c r="F97" s="324">
        <f>$D$27</f>
        <v>625446</v>
      </c>
      <c r="G97" s="288"/>
    </row>
    <row r="98" spans="1:12" x14ac:dyDescent="0.2">
      <c r="A98" s="288"/>
      <c r="B98" s="292" t="s">
        <v>534</v>
      </c>
      <c r="C98" s="284" t="s">
        <v>527</v>
      </c>
      <c r="D98" s="297"/>
      <c r="E98" s="297"/>
      <c r="F98" s="315">
        <f>IF('4.Informatie'!C8=0,"-",IF(ISERROR(F96/F97),1,F96/F97))</f>
        <v>0</v>
      </c>
      <c r="G98" s="288"/>
    </row>
    <row r="99" spans="1:12" ht="12.75" customHeight="1" x14ac:dyDescent="0.2">
      <c r="A99" s="288"/>
      <c r="B99" s="292"/>
      <c r="C99" s="284" t="s">
        <v>528</v>
      </c>
      <c r="D99" s="576" t="str">
        <f>IF('4.Informatie'!C8&lt;&gt;0,IF(F98&lt;=0.01,"voldoende","onvoldoende"),"nvt")</f>
        <v>voldoende</v>
      </c>
      <c r="E99" s="576"/>
      <c r="F99" s="576"/>
      <c r="G99" s="288"/>
    </row>
    <row r="100" spans="1:12" x14ac:dyDescent="0.2">
      <c r="A100" s="288"/>
      <c r="B100" s="288"/>
      <c r="C100" s="288"/>
      <c r="D100" s="288"/>
      <c r="E100" s="288"/>
      <c r="F100" s="288"/>
      <c r="G100" s="288"/>
    </row>
    <row r="102" spans="1:12" x14ac:dyDescent="0.2">
      <c r="A102" s="288" t="s">
        <v>535</v>
      </c>
      <c r="B102" s="288"/>
      <c r="C102" s="288" t="s">
        <v>511</v>
      </c>
      <c r="D102" s="288"/>
      <c r="E102" s="288"/>
      <c r="F102" s="288"/>
      <c r="G102" s="288"/>
      <c r="H102" s="288"/>
      <c r="I102" s="288"/>
      <c r="J102" s="288"/>
      <c r="K102" s="288"/>
      <c r="L102" s="288"/>
    </row>
    <row r="103" spans="1:12" x14ac:dyDescent="0.2">
      <c r="A103" s="288"/>
      <c r="B103" s="292"/>
      <c r="C103" s="292"/>
      <c r="D103" s="298" t="s">
        <v>536</v>
      </c>
      <c r="E103" s="298" t="s">
        <v>418</v>
      </c>
      <c r="F103" s="298"/>
      <c r="G103" s="298" t="s">
        <v>537</v>
      </c>
      <c r="H103" s="298" t="s">
        <v>538</v>
      </c>
      <c r="I103" s="284" t="s">
        <v>539</v>
      </c>
      <c r="J103" s="298" t="s">
        <v>540</v>
      </c>
      <c r="K103" s="298" t="s">
        <v>541</v>
      </c>
      <c r="L103" s="288"/>
    </row>
    <row r="104" spans="1:12" x14ac:dyDescent="0.2">
      <c r="A104" s="288"/>
      <c r="B104" s="292"/>
      <c r="C104" s="289" t="s">
        <v>531</v>
      </c>
      <c r="D104" s="298" t="s">
        <v>519</v>
      </c>
      <c r="E104" s="298" t="s">
        <v>521</v>
      </c>
      <c r="F104" s="298" t="s">
        <v>542</v>
      </c>
      <c r="G104" s="298" t="s">
        <v>543</v>
      </c>
      <c r="H104" s="298" t="s">
        <v>544</v>
      </c>
      <c r="I104" s="284" t="s">
        <v>545</v>
      </c>
      <c r="J104" s="298" t="s">
        <v>546</v>
      </c>
      <c r="K104" s="298" t="s">
        <v>547</v>
      </c>
      <c r="L104" s="288"/>
    </row>
    <row r="105" spans="1:12" x14ac:dyDescent="0.2">
      <c r="A105" s="288"/>
      <c r="B105" s="293"/>
      <c r="C105" s="291" t="s">
        <v>285</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287</v>
      </c>
      <c r="D106" s="322">
        <f>+VLOOKUP($C106,'7.Balansstanden'!$D:$H,3,FALSE)</f>
        <v>6</v>
      </c>
      <c r="E106" s="322">
        <f>+VLOOKUP($C106,'7.Balansstanden'!$D:$H,5,FALSE)</f>
        <v>4</v>
      </c>
      <c r="F106" s="322">
        <f t="shared" ref="F106:F180" si="8">+E106-D106</f>
        <v>-2</v>
      </c>
      <c r="G106" s="322">
        <f>+VLOOKUP($C106,'5.Verdelingsmatrix lasten'!$A:$AN,40,FALSE)</f>
        <v>0</v>
      </c>
      <c r="H106" s="322">
        <f>+VLOOKUP($C106,'6.Verdelingsmatrix baten'!$A:$AP,42,FALSE)</f>
        <v>2</v>
      </c>
      <c r="I106" s="322">
        <f t="shared" ref="I106:I145" si="9">+G106-H106</f>
        <v>-2</v>
      </c>
      <c r="J106" s="322">
        <f>IF('4.Informatie'!$C$8&lt;&gt;5,0,ABS(+F106-I106))</f>
        <v>0</v>
      </c>
      <c r="K106" s="322">
        <f>IF('4.Informatie'!$C$8&lt;&gt;5,0,ABS(D106)+ABS(E106))</f>
        <v>10</v>
      </c>
      <c r="L106" s="288"/>
    </row>
    <row r="107" spans="1:12" x14ac:dyDescent="0.2">
      <c r="A107" s="288"/>
      <c r="B107" s="292"/>
      <c r="C107" s="289" t="s">
        <v>289</v>
      </c>
      <c r="D107" s="322">
        <f>+VLOOKUP($C107,'7.Balansstanden'!$D:$H,3,FALSE)</f>
        <v>58107</v>
      </c>
      <c r="E107" s="322">
        <f>+VLOOKUP($C107,'7.Balansstanden'!$D:$H,5,FALSE)</f>
        <v>72463</v>
      </c>
      <c r="F107" s="322">
        <f t="shared" si="8"/>
        <v>14356</v>
      </c>
      <c r="G107" s="322">
        <f>+VLOOKUP($C107,'5.Verdelingsmatrix lasten'!$A:$AN,40,FALSE)</f>
        <v>17561</v>
      </c>
      <c r="H107" s="322">
        <f>+VLOOKUP($C107,'6.Verdelingsmatrix baten'!$A:$AP,42,FALSE)</f>
        <v>3206</v>
      </c>
      <c r="I107" s="322">
        <f t="shared" si="9"/>
        <v>14355</v>
      </c>
      <c r="J107" s="322">
        <f>IF('4.Informatie'!$C$8&lt;&gt;5,0,ABS(+F107-I107))</f>
        <v>1</v>
      </c>
      <c r="K107" s="322">
        <f>IF('4.Informatie'!$C$8&lt;&gt;5,0,ABS(D107)+ABS(E107))</f>
        <v>130570</v>
      </c>
      <c r="L107" s="288"/>
    </row>
    <row r="108" spans="1:12" x14ac:dyDescent="0.2">
      <c r="A108" s="288"/>
      <c r="B108" s="292"/>
      <c r="C108" s="289" t="s">
        <v>291</v>
      </c>
      <c r="D108" s="322">
        <f>+VLOOKUP($C108,'7.Balansstanden'!$D:$H,3,FALSE)</f>
        <v>45673</v>
      </c>
      <c r="E108" s="322">
        <f>+VLOOKUP($C108,'7.Balansstanden'!$D:$H,5,FALSE)</f>
        <v>39775</v>
      </c>
      <c r="F108" s="322">
        <f t="shared" si="8"/>
        <v>-5898</v>
      </c>
      <c r="G108" s="322">
        <f>+VLOOKUP($C108,'5.Verdelingsmatrix lasten'!$A:$AN,40,FALSE)</f>
        <v>43</v>
      </c>
      <c r="H108" s="322">
        <f>+VLOOKUP($C108,'6.Verdelingsmatrix baten'!$A:$AP,42,FALSE)</f>
        <v>5940</v>
      </c>
      <c r="I108" s="322">
        <f t="shared" si="9"/>
        <v>-5897</v>
      </c>
      <c r="J108" s="322">
        <f>IF('4.Informatie'!$C$8&lt;&gt;5,0,ABS(+F108-I108))</f>
        <v>1</v>
      </c>
      <c r="K108" s="322">
        <f>IF('4.Informatie'!$C$8&lt;&gt;5,0,ABS(D108)+ABS(E108))</f>
        <v>85448</v>
      </c>
      <c r="L108" s="288"/>
    </row>
    <row r="109" spans="1:12" x14ac:dyDescent="0.2">
      <c r="A109" s="288"/>
      <c r="B109" s="292"/>
      <c r="C109" s="289" t="s">
        <v>293</v>
      </c>
      <c r="D109" s="322">
        <f>+VLOOKUP($C109,'7.Balansstanden'!$D:$H,3,FALSE)</f>
        <v>11</v>
      </c>
      <c r="E109" s="322">
        <f>+VLOOKUP($C109,'7.Balansstanden'!$D:$H,5,FALSE)</f>
        <v>10</v>
      </c>
      <c r="F109" s="322">
        <f t="shared" si="8"/>
        <v>-1</v>
      </c>
      <c r="G109" s="322">
        <f>+VLOOKUP($C109,'5.Verdelingsmatrix lasten'!$A:$AN,40,FALSE)</f>
        <v>0</v>
      </c>
      <c r="H109" s="322">
        <f>+VLOOKUP($C109,'6.Verdelingsmatrix baten'!$A:$AP,42,FALSE)</f>
        <v>1</v>
      </c>
      <c r="I109" s="322">
        <f t="shared" si="9"/>
        <v>-1</v>
      </c>
      <c r="J109" s="322">
        <f>IF('4.Informatie'!$C$8&lt;&gt;5,0,ABS(+F109-I109))</f>
        <v>0</v>
      </c>
      <c r="K109" s="322">
        <f>IF('4.Informatie'!$C$8&lt;&gt;5,0,ABS(D109)+ABS(E109))</f>
        <v>21</v>
      </c>
      <c r="L109" s="288"/>
    </row>
    <row r="110" spans="1:12" x14ac:dyDescent="0.2">
      <c r="A110" s="288"/>
      <c r="B110" s="292"/>
      <c r="C110" s="289" t="s">
        <v>295</v>
      </c>
      <c r="D110" s="322">
        <f>+VLOOKUP($C110,'7.Balansstanden'!$D:$H,3,FALSE)</f>
        <v>27861</v>
      </c>
      <c r="E110" s="322">
        <f>+VLOOKUP($C110,'7.Balansstanden'!$D:$H,5,FALSE)</f>
        <v>24711</v>
      </c>
      <c r="F110" s="322">
        <f t="shared" si="8"/>
        <v>-3150</v>
      </c>
      <c r="G110" s="322">
        <f>+VLOOKUP($C110,'5.Verdelingsmatrix lasten'!$A:$AN,40,FALSE)</f>
        <v>0</v>
      </c>
      <c r="H110" s="322">
        <f>+VLOOKUP($C110,'6.Verdelingsmatrix baten'!$A:$AP,42,FALSE)</f>
        <v>3151</v>
      </c>
      <c r="I110" s="322">
        <f t="shared" si="9"/>
        <v>-3151</v>
      </c>
      <c r="J110" s="322">
        <f>IF('4.Informatie'!$C$8&lt;&gt;5,0,ABS(+F110-I110))</f>
        <v>1</v>
      </c>
      <c r="K110" s="322">
        <f>IF('4.Informatie'!$C$8&lt;&gt;5,0,ABS(D110)+ABS(E110))</f>
        <v>52572</v>
      </c>
      <c r="L110" s="288"/>
    </row>
    <row r="111" spans="1:12" x14ac:dyDescent="0.2">
      <c r="A111" s="288"/>
      <c r="B111" s="292"/>
      <c r="C111" s="289" t="s">
        <v>297</v>
      </c>
      <c r="D111" s="322">
        <f>+VLOOKUP($C111,'7.Balansstanden'!$D:$H,3,FALSE)</f>
        <v>329146</v>
      </c>
      <c r="E111" s="322">
        <f>+VLOOKUP($C111,'7.Balansstanden'!$D:$H,5,FALSE)</f>
        <v>326513</v>
      </c>
      <c r="F111" s="322">
        <f t="shared" si="8"/>
        <v>-2633</v>
      </c>
      <c r="G111" s="322">
        <f>+VLOOKUP($C111,'5.Verdelingsmatrix lasten'!$A:$AN,40,FALSE)</f>
        <v>19996</v>
      </c>
      <c r="H111" s="322">
        <f>+VLOOKUP($C111,'6.Verdelingsmatrix baten'!$A:$AP,42,FALSE)</f>
        <v>22629</v>
      </c>
      <c r="I111" s="322">
        <f t="shared" si="9"/>
        <v>-2633</v>
      </c>
      <c r="J111" s="322">
        <f>IF('4.Informatie'!$C$8&lt;&gt;5,0,ABS(+F111-I111))</f>
        <v>0</v>
      </c>
      <c r="K111" s="322">
        <f>IF('4.Informatie'!$C$8&lt;&gt;5,0,ABS(D111)+ABS(E111))</f>
        <v>655659</v>
      </c>
      <c r="L111" s="288"/>
    </row>
    <row r="112" spans="1:12" x14ac:dyDescent="0.2">
      <c r="A112" s="288"/>
      <c r="B112" s="292"/>
      <c r="C112" s="289" t="s">
        <v>299</v>
      </c>
      <c r="D112" s="322">
        <f>+VLOOKUP($C112,'7.Balansstanden'!$D:$H,3,FALSE)</f>
        <v>7</v>
      </c>
      <c r="E112" s="322">
        <f>+VLOOKUP($C112,'7.Balansstanden'!$D:$H,5,FALSE)</f>
        <v>0</v>
      </c>
      <c r="F112" s="322">
        <f t="shared" si="8"/>
        <v>-7</v>
      </c>
      <c r="G112" s="322">
        <f>+VLOOKUP($C112,'5.Verdelingsmatrix lasten'!$A:$AN,40,FALSE)</f>
        <v>0</v>
      </c>
      <c r="H112" s="322">
        <f>+VLOOKUP($C112,'6.Verdelingsmatrix baten'!$A:$AP,42,FALSE)</f>
        <v>7</v>
      </c>
      <c r="I112" s="322">
        <f t="shared" si="9"/>
        <v>-7</v>
      </c>
      <c r="J112" s="322">
        <f>IF('4.Informatie'!$C$8&lt;&gt;5,0,ABS(+F112-I112))</f>
        <v>0</v>
      </c>
      <c r="K112" s="322">
        <f>IF('4.Informatie'!$C$8&lt;&gt;5,0,ABS(D112)+ABS(E112))</f>
        <v>7</v>
      </c>
      <c r="L112" s="288"/>
    </row>
    <row r="113" spans="1:12" x14ac:dyDescent="0.2">
      <c r="A113" s="288"/>
      <c r="B113" s="292"/>
      <c r="C113" s="289" t="s">
        <v>301</v>
      </c>
      <c r="D113" s="322">
        <f>+VLOOKUP($C113,'7.Balansstanden'!$D:$H,3,FALSE)</f>
        <v>14890</v>
      </c>
      <c r="E113" s="322">
        <f>+VLOOKUP($C113,'7.Balansstanden'!$D:$H,5,FALSE)</f>
        <v>15878</v>
      </c>
      <c r="F113" s="322">
        <f t="shared" si="8"/>
        <v>988</v>
      </c>
      <c r="G113" s="322">
        <f>+VLOOKUP($C113,'5.Verdelingsmatrix lasten'!$A:$AN,40,FALSE)</f>
        <v>2962</v>
      </c>
      <c r="H113" s="322">
        <f>+VLOOKUP($C113,'6.Verdelingsmatrix baten'!$A:$AP,42,FALSE)</f>
        <v>1975</v>
      </c>
      <c r="I113" s="322">
        <f t="shared" si="9"/>
        <v>987</v>
      </c>
      <c r="J113" s="322">
        <f>IF('4.Informatie'!$C$8&lt;&gt;5,0,ABS(+F113-I113))</f>
        <v>1</v>
      </c>
      <c r="K113" s="322">
        <f>IF('4.Informatie'!$C$8&lt;&gt;5,0,ABS(D113)+ABS(E113))</f>
        <v>30768</v>
      </c>
      <c r="L113" s="288"/>
    </row>
    <row r="114" spans="1:12" x14ac:dyDescent="0.2">
      <c r="A114" s="288"/>
      <c r="B114" s="292"/>
      <c r="C114" s="289" t="s">
        <v>303</v>
      </c>
      <c r="D114" s="322">
        <f>+VLOOKUP($C114,'7.Balansstanden'!$D:$H,3,FALSE)</f>
        <v>3137</v>
      </c>
      <c r="E114" s="322">
        <f>+VLOOKUP($C114,'7.Balansstanden'!$D:$H,5,FALSE)</f>
        <v>3042</v>
      </c>
      <c r="F114" s="322">
        <f t="shared" si="8"/>
        <v>-95</v>
      </c>
      <c r="G114" s="322">
        <f>+VLOOKUP($C114,'5.Verdelingsmatrix lasten'!$A:$AN,40,FALSE)</f>
        <v>511</v>
      </c>
      <c r="H114" s="322">
        <f>+VLOOKUP($C114,'6.Verdelingsmatrix baten'!$A:$AP,42,FALSE)</f>
        <v>606</v>
      </c>
      <c r="I114" s="322">
        <f t="shared" si="9"/>
        <v>-95</v>
      </c>
      <c r="J114" s="322">
        <f>IF('4.Informatie'!$C$8&lt;&gt;5,0,ABS(+F114-I114))</f>
        <v>0</v>
      </c>
      <c r="K114" s="322">
        <f>IF('4.Informatie'!$C$8&lt;&gt;5,0,ABS(D114)+ABS(E114))</f>
        <v>6179</v>
      </c>
      <c r="L114" s="288"/>
    </row>
    <row r="115" spans="1:12" x14ac:dyDescent="0.2">
      <c r="A115" s="288"/>
      <c r="B115" s="292"/>
      <c r="C115" s="289" t="s">
        <v>305</v>
      </c>
      <c r="D115" s="337">
        <f>+VLOOKUP($C115,'7.Balansstanden'!$D:$H,3,FALSE)</f>
        <v>312508</v>
      </c>
      <c r="E115" s="337">
        <f>+VLOOKUP($C115,'7.Balansstanden'!$D:$H,5,FALSE)</f>
        <v>321246</v>
      </c>
      <c r="F115" s="337">
        <f t="shared" si="8"/>
        <v>8738</v>
      </c>
      <c r="G115" s="337">
        <f>+VLOOKUP($C115,'5.Verdelingsmatrix lasten'!$A:$AN,40,FALSE)</f>
        <v>-28254</v>
      </c>
      <c r="H115" s="337">
        <f>+VLOOKUP($C115,'6.Verdelingsmatrix baten'!$A:$AP,42,FALSE)</f>
        <v>-36992</v>
      </c>
      <c r="I115" s="337">
        <f t="shared" si="9"/>
        <v>8738</v>
      </c>
      <c r="J115" s="337">
        <f t="shared" ref="J115:J180" si="10">ABS(+F115-I115)</f>
        <v>0</v>
      </c>
      <c r="K115" s="337">
        <f t="shared" ref="K115:K180" si="11">ABS(D115)+ABS(E115)</f>
        <v>633754</v>
      </c>
      <c r="L115" s="288"/>
    </row>
    <row r="116" spans="1:12" x14ac:dyDescent="0.2">
      <c r="A116" s="288"/>
      <c r="B116" s="292"/>
      <c r="C116" s="289" t="s">
        <v>307</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309</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311</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313</v>
      </c>
      <c r="D119" s="337">
        <f>+VLOOKUP($C119,'7.Balansstanden'!$D:$H,3,FALSE)</f>
        <v>339541</v>
      </c>
      <c r="E119" s="337">
        <f>+VLOOKUP($C119,'7.Balansstanden'!$D:$H,5,FALSE)</f>
        <v>334578</v>
      </c>
      <c r="F119" s="337">
        <f t="shared" si="8"/>
        <v>-4963</v>
      </c>
      <c r="G119" s="337">
        <f>+VLOOKUP($C119,'5.Verdelingsmatrix lasten'!$A:$AN,40,FALSE)</f>
        <v>8000</v>
      </c>
      <c r="H119" s="337">
        <f>+VLOOKUP($C119,'6.Verdelingsmatrix baten'!$A:$AP,42,FALSE)</f>
        <v>12963</v>
      </c>
      <c r="I119" s="337">
        <f t="shared" si="9"/>
        <v>-4963</v>
      </c>
      <c r="J119" s="337">
        <f t="shared" si="10"/>
        <v>0</v>
      </c>
      <c r="K119" s="337">
        <f t="shared" si="11"/>
        <v>674119</v>
      </c>
      <c r="L119" s="288"/>
    </row>
    <row r="120" spans="1:12" x14ac:dyDescent="0.2">
      <c r="A120" s="288"/>
      <c r="B120" s="292"/>
      <c r="C120" s="289" t="s">
        <v>315</v>
      </c>
      <c r="D120" s="337">
        <f>+VLOOKUP($C120,'7.Balansstanden'!$D:$H,3,FALSE)</f>
        <v>1250</v>
      </c>
      <c r="E120" s="337">
        <f>+VLOOKUP($C120,'7.Balansstanden'!$D:$H,5,FALSE)</f>
        <v>1250</v>
      </c>
      <c r="F120" s="337">
        <f t="shared" si="8"/>
        <v>0</v>
      </c>
      <c r="G120" s="337">
        <f>+VLOOKUP($C120,'5.Verdelingsmatrix lasten'!$A:$AN,40,FALSE)</f>
        <v>-1250</v>
      </c>
      <c r="H120" s="337">
        <f>+VLOOKUP($C120,'6.Verdelingsmatrix baten'!$A:$AP,42,FALSE)</f>
        <v>0</v>
      </c>
      <c r="I120" s="337">
        <f t="shared" si="9"/>
        <v>-1250</v>
      </c>
      <c r="J120" s="337">
        <f t="shared" si="10"/>
        <v>1250</v>
      </c>
      <c r="K120" s="337">
        <f t="shared" si="11"/>
        <v>2500</v>
      </c>
      <c r="L120" s="288"/>
    </row>
    <row r="121" spans="1:12" x14ac:dyDescent="0.2">
      <c r="A121" s="288"/>
      <c r="B121" s="292"/>
      <c r="C121" s="289" t="s">
        <v>317</v>
      </c>
      <c r="D121" s="337">
        <f>+VLOOKUP($C121,'7.Balansstanden'!$D:$H,3,FALSE)</f>
        <v>266417</v>
      </c>
      <c r="E121" s="337">
        <f>+VLOOKUP($C121,'7.Balansstanden'!$D:$H,5,FALSE)</f>
        <v>250870</v>
      </c>
      <c r="F121" s="337">
        <f t="shared" ref="F121:F124" si="12">+E121-D121</f>
        <v>-15547</v>
      </c>
      <c r="G121" s="337">
        <f>+VLOOKUP($C121,'5.Verdelingsmatrix lasten'!$A:$AN,40,FALSE)</f>
        <v>5648</v>
      </c>
      <c r="H121" s="337">
        <f>+VLOOKUP($C121,'6.Verdelingsmatrix baten'!$A:$AP,42,FALSE)</f>
        <v>19945</v>
      </c>
      <c r="I121" s="337">
        <f t="shared" ref="I121:I124" si="13">+G121-H121</f>
        <v>-14297</v>
      </c>
      <c r="J121" s="337">
        <f t="shared" ref="J121:J124" si="14">ABS(+F121-I121)</f>
        <v>1250</v>
      </c>
      <c r="K121" s="337">
        <f t="shared" ref="K121:K124" si="15">ABS(D121)+ABS(E121)</f>
        <v>517287</v>
      </c>
      <c r="L121" s="288"/>
    </row>
    <row r="122" spans="1:12" x14ac:dyDescent="0.2">
      <c r="A122" s="288"/>
      <c r="B122" s="292"/>
      <c r="C122" s="289" t="s">
        <v>736</v>
      </c>
      <c r="D122" s="337">
        <f>+VLOOKUP($C122,'7.Balansstanden'!$D:$H,3,FALSE)</f>
        <v>332420</v>
      </c>
      <c r="E122" s="337">
        <f>+VLOOKUP($C122,'7.Balansstanden'!$D:$H,5,FALSE)</f>
        <v>385388</v>
      </c>
      <c r="F122" s="337">
        <f t="shared" si="12"/>
        <v>52968</v>
      </c>
      <c r="G122" s="337">
        <f>+VLOOKUP($C122,'5.Verdelingsmatrix lasten'!$A:$AN,40,FALSE)</f>
        <v>96000</v>
      </c>
      <c r="H122" s="337">
        <f>+VLOOKUP($C122,'6.Verdelingsmatrix baten'!$A:$AP,42,FALSE)</f>
        <v>43032</v>
      </c>
      <c r="I122" s="337">
        <f t="shared" si="13"/>
        <v>52968</v>
      </c>
      <c r="J122" s="337">
        <f t="shared" si="14"/>
        <v>0</v>
      </c>
      <c r="K122" s="337">
        <f t="shared" si="15"/>
        <v>717808</v>
      </c>
      <c r="L122" s="288"/>
    </row>
    <row r="123" spans="1:12" x14ac:dyDescent="0.2">
      <c r="A123" s="288"/>
      <c r="B123" s="292"/>
      <c r="C123" s="289" t="s">
        <v>737</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738</v>
      </c>
      <c r="D124" s="337">
        <f>+VLOOKUP($C124,'7.Balansstanden'!$D:$H,3,FALSE)</f>
        <v>39000</v>
      </c>
      <c r="E124" s="337">
        <f>+VLOOKUP($C124,'7.Balansstanden'!$D:$H,5,FALSE)</f>
        <v>28000</v>
      </c>
      <c r="F124" s="337">
        <f t="shared" si="12"/>
        <v>-11000</v>
      </c>
      <c r="G124" s="337">
        <f>+VLOOKUP($C124,'5.Verdelingsmatrix lasten'!$A:$AN,40,FALSE)</f>
        <v>0</v>
      </c>
      <c r="H124" s="337">
        <f>+VLOOKUP($C124,'6.Verdelingsmatrix baten'!$A:$AP,42,FALSE)</f>
        <v>11000</v>
      </c>
      <c r="I124" s="337">
        <f t="shared" si="13"/>
        <v>-11000</v>
      </c>
      <c r="J124" s="337">
        <f t="shared" si="14"/>
        <v>0</v>
      </c>
      <c r="K124" s="337">
        <f t="shared" si="15"/>
        <v>67000</v>
      </c>
      <c r="L124" s="288"/>
    </row>
    <row r="125" spans="1:12" x14ac:dyDescent="0.2">
      <c r="A125" s="288"/>
      <c r="B125" s="292"/>
      <c r="C125" s="289" t="s">
        <v>319</v>
      </c>
      <c r="D125" s="337">
        <f>+VLOOKUP($C125,'7.Balansstanden'!$D:$H,3,FALSE)</f>
        <v>0</v>
      </c>
      <c r="E125" s="337">
        <f>+VLOOKUP($C125,'7.Balansstanden'!$D:$H,5,FALSE)</f>
        <v>100000</v>
      </c>
      <c r="F125" s="337">
        <f t="shared" si="8"/>
        <v>100000</v>
      </c>
      <c r="G125" s="337">
        <f>+VLOOKUP($C125,'5.Verdelingsmatrix lasten'!$A:$AN,40,FALSE)</f>
        <v>100000</v>
      </c>
      <c r="H125" s="337">
        <f>+VLOOKUP($C125,'6.Verdelingsmatrix baten'!$A:$AP,42,FALSE)</f>
        <v>0</v>
      </c>
      <c r="I125" s="337">
        <f t="shared" si="9"/>
        <v>100000</v>
      </c>
      <c r="J125" s="337">
        <f t="shared" si="10"/>
        <v>0</v>
      </c>
      <c r="K125" s="337">
        <f t="shared" si="11"/>
        <v>100000</v>
      </c>
      <c r="L125" s="288"/>
    </row>
    <row r="126" spans="1:12" x14ac:dyDescent="0.2">
      <c r="A126" s="288"/>
      <c r="B126" s="292"/>
      <c r="C126" s="289" t="s">
        <v>321</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323</v>
      </c>
      <c r="D127" s="337">
        <f>+VLOOKUP($C127,'7.Balansstanden'!$D:$H,3,FALSE)</f>
        <v>66846</v>
      </c>
      <c r="E127" s="337">
        <f>+VLOOKUP($C127,'7.Balansstanden'!$D:$H,5,FALSE)</f>
        <v>233</v>
      </c>
      <c r="F127" s="337">
        <f t="shared" si="8"/>
        <v>-66613</v>
      </c>
      <c r="G127" s="337">
        <f>+VLOOKUP($C127,'5.Verdelingsmatrix lasten'!$A:$AN,40,FALSE)</f>
        <v>0</v>
      </c>
      <c r="H127" s="337">
        <f>+VLOOKUP($C127,'6.Verdelingsmatrix baten'!$A:$AP,42,FALSE)</f>
        <v>66613</v>
      </c>
      <c r="I127" s="337">
        <f t="shared" si="9"/>
        <v>-66613</v>
      </c>
      <c r="J127" s="337">
        <f t="shared" si="10"/>
        <v>0</v>
      </c>
      <c r="K127" s="337">
        <f t="shared" si="11"/>
        <v>67079</v>
      </c>
      <c r="L127" s="288"/>
    </row>
    <row r="128" spans="1:12" x14ac:dyDescent="0.2">
      <c r="A128" s="288"/>
      <c r="B128" s="292"/>
      <c r="C128" s="289" t="s">
        <v>327</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329</v>
      </c>
      <c r="D129" s="322">
        <f>+VLOOKUP($C129,'7.Balansstanden'!$D:$H,3,FALSE)</f>
        <v>9927</v>
      </c>
      <c r="E129" s="322">
        <f>+VLOOKUP($C129,'7.Balansstanden'!$D:$H,5,FALSE)</f>
        <v>13028</v>
      </c>
      <c r="F129" s="322">
        <f t="shared" si="8"/>
        <v>3101</v>
      </c>
      <c r="G129" s="322">
        <f>+VLOOKUP($C129,'5.Verdelingsmatrix lasten'!$A:$AN,40,FALSE)</f>
        <v>27408</v>
      </c>
      <c r="H129" s="322">
        <f>+VLOOKUP($C129,'6.Verdelingsmatrix baten'!$A:$AP,42,FALSE)</f>
        <v>24308</v>
      </c>
      <c r="I129" s="322">
        <f t="shared" si="9"/>
        <v>3100</v>
      </c>
      <c r="J129" s="322">
        <f>IF('4.Informatie'!$C$8&lt;&gt;5,0,ABS(+F129-I129))</f>
        <v>1</v>
      </c>
      <c r="K129" s="322">
        <f>IF('4.Informatie'!$C$8&lt;&gt;5,0,ABS(D129)+ABS(E129))</f>
        <v>22955</v>
      </c>
      <c r="L129" s="288"/>
    </row>
    <row r="130" spans="1:12" x14ac:dyDescent="0.2">
      <c r="A130" s="288"/>
      <c r="B130" s="292"/>
      <c r="C130" s="289" t="s">
        <v>331</v>
      </c>
      <c r="D130" s="322">
        <f>+VLOOKUP($C130,'7.Balansstanden'!$D:$H,3,FALSE)</f>
        <v>11128</v>
      </c>
      <c r="E130" s="322">
        <f>+VLOOKUP($C130,'7.Balansstanden'!$D:$H,5,FALSE)</f>
        <v>23954</v>
      </c>
      <c r="F130" s="322">
        <f t="shared" si="8"/>
        <v>12826</v>
      </c>
      <c r="G130" s="322">
        <f>+VLOOKUP($C130,'5.Verdelingsmatrix lasten'!$A:$AN,40,FALSE)</f>
        <v>12827</v>
      </c>
      <c r="H130" s="322">
        <f>+VLOOKUP($C130,'6.Verdelingsmatrix baten'!$A:$AP,42,FALSE)</f>
        <v>0</v>
      </c>
      <c r="I130" s="322">
        <f t="shared" si="9"/>
        <v>12827</v>
      </c>
      <c r="J130" s="322">
        <f>IF('4.Informatie'!$C$8&lt;&gt;5,0,ABS(+F130-I130))</f>
        <v>1</v>
      </c>
      <c r="K130" s="322">
        <f>IF('4.Informatie'!$C$8&lt;&gt;5,0,ABS(D130)+ABS(E130))</f>
        <v>35082</v>
      </c>
      <c r="L130" s="288"/>
    </row>
    <row r="131" spans="1:12" x14ac:dyDescent="0.2">
      <c r="A131" s="288"/>
      <c r="B131" s="292"/>
      <c r="C131" s="289" t="s">
        <v>333</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743</v>
      </c>
      <c r="D132" s="337">
        <f>+VLOOKUP($C132,'7.Balansstanden'!$D:$H,3,FALSE)</f>
        <v>1537</v>
      </c>
      <c r="E132" s="337">
        <f>+VLOOKUP($C132,'7.Balansstanden'!$D:$H,5,FALSE)</f>
        <v>2143</v>
      </c>
      <c r="F132" s="337">
        <f t="shared" ref="F132:F138" si="16">+E132-D132</f>
        <v>606</v>
      </c>
      <c r="G132" s="337">
        <f>+VLOOKUP($C132,'5.Verdelingsmatrix lasten'!$A:$AN,40,FALSE)</f>
        <v>606</v>
      </c>
      <c r="H132" s="337">
        <f>+VLOOKUP($C132,'6.Verdelingsmatrix baten'!$A:$AP,42,FALSE)</f>
        <v>0</v>
      </c>
      <c r="I132" s="337">
        <f t="shared" ref="I132:I138" si="17">+G132-H132</f>
        <v>606</v>
      </c>
      <c r="J132" s="337">
        <f t="shared" ref="J132:J138" si="18">ABS(+F132-I132)</f>
        <v>0</v>
      </c>
      <c r="K132" s="337">
        <f t="shared" ref="K132:K138" si="19">ABS(D132)+ABS(E132)</f>
        <v>3680</v>
      </c>
      <c r="L132" s="288"/>
    </row>
    <row r="133" spans="1:12" x14ac:dyDescent="0.2">
      <c r="A133" s="288"/>
      <c r="B133" s="292"/>
      <c r="C133" s="289" t="s">
        <v>744</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745</v>
      </c>
      <c r="D134" s="337">
        <f>+VLOOKUP($C134,'7.Balansstanden'!$D:$H,3,FALSE)</f>
        <v>25136</v>
      </c>
      <c r="E134" s="337">
        <f>+VLOOKUP($C134,'7.Balansstanden'!$D:$H,5,FALSE)</f>
        <v>31167</v>
      </c>
      <c r="F134" s="337">
        <f t="shared" si="16"/>
        <v>6031</v>
      </c>
      <c r="G134" s="337">
        <f>+VLOOKUP($C134,'5.Verdelingsmatrix lasten'!$A:$AN,40,FALSE)</f>
        <v>6031</v>
      </c>
      <c r="H134" s="337">
        <f>+VLOOKUP($C134,'6.Verdelingsmatrix baten'!$A:$AP,42,FALSE)</f>
        <v>0</v>
      </c>
      <c r="I134" s="337">
        <f t="shared" si="17"/>
        <v>6031</v>
      </c>
      <c r="J134" s="337">
        <f t="shared" si="18"/>
        <v>0</v>
      </c>
      <c r="K134" s="337">
        <f t="shared" si="19"/>
        <v>56303</v>
      </c>
      <c r="L134" s="288"/>
    </row>
    <row r="135" spans="1:12" x14ac:dyDescent="0.2">
      <c r="A135" s="288"/>
      <c r="B135" s="292"/>
      <c r="C135" s="289" t="s">
        <v>335</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749</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750</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751</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337</v>
      </c>
      <c r="D139" s="337">
        <f>+VLOOKUP($C139,'7.Balansstanden'!$D:$H,3,FALSE)</f>
        <v>344882</v>
      </c>
      <c r="E139" s="337">
        <f>+VLOOKUP($C139,'7.Balansstanden'!$D:$H,5,FALSE)</f>
        <v>215176</v>
      </c>
      <c r="F139" s="337">
        <f t="shared" si="8"/>
        <v>-129706</v>
      </c>
      <c r="G139" s="337">
        <f>+VLOOKUP($C139,'5.Verdelingsmatrix lasten'!$A:$AN,40,FALSE)</f>
        <v>-129706</v>
      </c>
      <c r="H139" s="337">
        <f>+VLOOKUP($C139,'6.Verdelingsmatrix baten'!$A:$AP,42,FALSE)</f>
        <v>0</v>
      </c>
      <c r="I139" s="337">
        <f t="shared" si="9"/>
        <v>-129706</v>
      </c>
      <c r="J139" s="337">
        <f t="shared" si="10"/>
        <v>0</v>
      </c>
      <c r="K139" s="337">
        <f t="shared" si="11"/>
        <v>560058</v>
      </c>
      <c r="L139" s="288"/>
    </row>
    <row r="140" spans="1:12" x14ac:dyDescent="0.2">
      <c r="A140" s="288"/>
      <c r="B140" s="292"/>
      <c r="C140" s="289" t="s">
        <v>339</v>
      </c>
      <c r="D140" s="337">
        <f>+VLOOKUP($C140,'7.Balansstanden'!$D:$H,3,FALSE)</f>
        <v>1261</v>
      </c>
      <c r="E140" s="337">
        <f>+VLOOKUP($C140,'7.Balansstanden'!$D:$H,5,FALSE)</f>
        <v>1570</v>
      </c>
      <c r="F140" s="337">
        <f t="shared" si="8"/>
        <v>309</v>
      </c>
      <c r="G140" s="337">
        <f>+VLOOKUP($C140,'5.Verdelingsmatrix lasten'!$A:$AN,40,FALSE)</f>
        <v>308</v>
      </c>
      <c r="H140" s="337">
        <f>+VLOOKUP($C140,'6.Verdelingsmatrix baten'!$A:$AP,42,FALSE)</f>
        <v>0</v>
      </c>
      <c r="I140" s="337">
        <f t="shared" si="9"/>
        <v>308</v>
      </c>
      <c r="J140" s="337">
        <f t="shared" si="10"/>
        <v>1</v>
      </c>
      <c r="K140" s="337">
        <f t="shared" si="11"/>
        <v>2831</v>
      </c>
      <c r="L140" s="288"/>
    </row>
    <row r="141" spans="1:12" x14ac:dyDescent="0.2">
      <c r="A141" s="288"/>
      <c r="B141" s="292"/>
      <c r="C141" s="289" t="s">
        <v>341</v>
      </c>
      <c r="D141" s="337">
        <f>+VLOOKUP($C141,'7.Balansstanden'!$D:$H,3,FALSE)</f>
        <v>18963</v>
      </c>
      <c r="E141" s="337">
        <f>+VLOOKUP($C141,'7.Balansstanden'!$D:$H,5,FALSE)</f>
        <v>19182</v>
      </c>
      <c r="F141" s="337">
        <f t="shared" si="8"/>
        <v>219</v>
      </c>
      <c r="G141" s="337">
        <f>+VLOOKUP($C141,'5.Verdelingsmatrix lasten'!$A:$AN,40,FALSE)</f>
        <v>219</v>
      </c>
      <c r="H141" s="337">
        <f>+VLOOKUP($C141,'6.Verdelingsmatrix baten'!$A:$AP,42,FALSE)</f>
        <v>0</v>
      </c>
      <c r="I141" s="337">
        <f t="shared" si="9"/>
        <v>219</v>
      </c>
      <c r="J141" s="337">
        <f t="shared" si="10"/>
        <v>0</v>
      </c>
      <c r="K141" s="337">
        <f t="shared" si="11"/>
        <v>38145</v>
      </c>
      <c r="L141" s="288"/>
    </row>
    <row r="142" spans="1:12" x14ac:dyDescent="0.2">
      <c r="A142" s="288"/>
      <c r="B142" s="292"/>
      <c r="C142" s="289" t="s">
        <v>343</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345</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347</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349</v>
      </c>
      <c r="D145" s="337">
        <f>+VLOOKUP($C145,'7.Balansstanden'!$D:$H,3,FALSE)</f>
        <v>18</v>
      </c>
      <c r="E145" s="337">
        <f>+VLOOKUP($C145,'7.Balansstanden'!$D:$H,5,FALSE)</f>
        <v>18</v>
      </c>
      <c r="F145" s="337">
        <f t="shared" si="8"/>
        <v>0</v>
      </c>
      <c r="G145" s="337">
        <f>+VLOOKUP($C145,'5.Verdelingsmatrix lasten'!$A:$AN,40,FALSE)</f>
        <v>0</v>
      </c>
      <c r="H145" s="337">
        <f>+VLOOKUP($C145,'6.Verdelingsmatrix baten'!$A:$AP,42,FALSE)</f>
        <v>0</v>
      </c>
      <c r="I145" s="337">
        <f t="shared" si="9"/>
        <v>0</v>
      </c>
      <c r="J145" s="337">
        <f t="shared" si="10"/>
        <v>0</v>
      </c>
      <c r="K145" s="337">
        <f t="shared" si="11"/>
        <v>36</v>
      </c>
      <c r="L145" s="288"/>
    </row>
    <row r="146" spans="1:12" x14ac:dyDescent="0.2">
      <c r="A146" s="288"/>
      <c r="B146" s="292"/>
      <c r="C146" s="289" t="s">
        <v>351</v>
      </c>
      <c r="D146" s="337">
        <f>+VLOOKUP($C146,'7.Balansstanden'!$D:$H,3,FALSE)</f>
        <v>0</v>
      </c>
      <c r="E146" s="337">
        <f>+VLOOKUP($C146,'7.Balansstanden'!$D:$H,5,FALSE)</f>
        <v>213</v>
      </c>
      <c r="F146" s="337">
        <f t="shared" ref="F146:F147" si="20">+E146-D146</f>
        <v>213</v>
      </c>
      <c r="G146" s="337">
        <f>+VLOOKUP($C146,'5.Verdelingsmatrix lasten'!$A:$AN,40,FALSE)</f>
        <v>213</v>
      </c>
      <c r="H146" s="337">
        <f>+VLOOKUP($C146,'6.Verdelingsmatrix baten'!$A:$AP,42,FALSE)</f>
        <v>0</v>
      </c>
      <c r="I146" s="337">
        <f t="shared" ref="I146:I147" si="21">+G146-H146</f>
        <v>213</v>
      </c>
      <c r="J146" s="337">
        <f t="shared" ref="J146:J147" si="22">ABS(+F146-I146)</f>
        <v>0</v>
      </c>
      <c r="K146" s="337">
        <f t="shared" ref="K146:K147" si="23">ABS(D146)+ABS(E146)</f>
        <v>213</v>
      </c>
      <c r="L146" s="288"/>
    </row>
    <row r="147" spans="1:12" x14ac:dyDescent="0.2">
      <c r="A147" s="288"/>
      <c r="B147" s="292"/>
      <c r="C147" s="289" t="s">
        <v>353</v>
      </c>
      <c r="D147" s="337">
        <f>+VLOOKUP($C147,'7.Balansstanden'!$D:$H,3,FALSE)</f>
        <v>2193</v>
      </c>
      <c r="E147" s="337">
        <f>+VLOOKUP($C147,'7.Balansstanden'!$D:$H,5,FALSE)</f>
        <v>38615</v>
      </c>
      <c r="F147" s="337">
        <f t="shared" si="20"/>
        <v>36422</v>
      </c>
      <c r="G147" s="337">
        <f>+VLOOKUP($C147,'5.Verdelingsmatrix lasten'!$A:$AN,40,FALSE)</f>
        <v>36422</v>
      </c>
      <c r="H147" s="337">
        <f>+VLOOKUP($C147,'6.Verdelingsmatrix baten'!$A:$AP,42,FALSE)</f>
        <v>0</v>
      </c>
      <c r="I147" s="337">
        <f t="shared" si="21"/>
        <v>36422</v>
      </c>
      <c r="J147" s="337">
        <f t="shared" si="22"/>
        <v>0</v>
      </c>
      <c r="K147" s="337">
        <f t="shared" si="23"/>
        <v>40808</v>
      </c>
      <c r="L147" s="288"/>
    </row>
    <row r="148" spans="1:12" x14ac:dyDescent="0.2">
      <c r="A148" s="288"/>
      <c r="B148" s="292"/>
      <c r="C148" s="289" t="s">
        <v>355</v>
      </c>
      <c r="D148" s="337">
        <f>+VLOOKUP($C148,'7.Balansstanden'!$D:$H,3,FALSE)</f>
        <v>36265</v>
      </c>
      <c r="E148" s="337">
        <f>+VLOOKUP($C148,'7.Balansstanden'!$D:$H,5,FALSE)</f>
        <v>68604</v>
      </c>
      <c r="F148" s="337">
        <f t="shared" ref="F148:F151" si="24">+E148-D148</f>
        <v>32339</v>
      </c>
      <c r="G148" s="337">
        <f>+VLOOKUP($C148,'5.Verdelingsmatrix lasten'!$A:$AN,40,FALSE)</f>
        <v>32339</v>
      </c>
      <c r="H148" s="337">
        <f>+VLOOKUP($C148,'6.Verdelingsmatrix baten'!$A:$AP,42,FALSE)</f>
        <v>0</v>
      </c>
      <c r="I148" s="337">
        <f t="shared" ref="I148:I151" si="25">+G148-H148</f>
        <v>32339</v>
      </c>
      <c r="J148" s="337">
        <f t="shared" ref="J148:J151" si="26">ABS(+F148-I148)</f>
        <v>0</v>
      </c>
      <c r="K148" s="337">
        <f t="shared" ref="K148:K151" si="27">ABS(D148)+ABS(E148)</f>
        <v>104869</v>
      </c>
      <c r="L148" s="288"/>
    </row>
    <row r="149" spans="1:12" x14ac:dyDescent="0.2">
      <c r="A149" s="288"/>
      <c r="B149" s="292"/>
      <c r="C149" s="289" t="s">
        <v>756</v>
      </c>
      <c r="D149" s="337">
        <f>+VLOOKUP($C149,'7.Balansstanden'!$D:$H,3,FALSE)</f>
        <v>0</v>
      </c>
      <c r="E149" s="337">
        <f>+VLOOKUP($C149,'7.Balansstanden'!$D:$H,5,FALSE)</f>
        <v>3</v>
      </c>
      <c r="F149" s="337">
        <f t="shared" si="24"/>
        <v>3</v>
      </c>
      <c r="G149" s="337">
        <f>+VLOOKUP($C149,'5.Verdelingsmatrix lasten'!$A:$AN,40,FALSE)</f>
        <v>3</v>
      </c>
      <c r="H149" s="337">
        <f>+VLOOKUP($C149,'6.Verdelingsmatrix baten'!$A:$AP,42,FALSE)</f>
        <v>0</v>
      </c>
      <c r="I149" s="337">
        <f t="shared" si="25"/>
        <v>3</v>
      </c>
      <c r="J149" s="337">
        <f t="shared" si="26"/>
        <v>0</v>
      </c>
      <c r="K149" s="337">
        <f t="shared" si="27"/>
        <v>3</v>
      </c>
      <c r="L149" s="288"/>
    </row>
    <row r="150" spans="1:12" x14ac:dyDescent="0.2">
      <c r="A150" s="288"/>
      <c r="B150" s="292"/>
      <c r="C150" s="289" t="s">
        <v>757</v>
      </c>
      <c r="D150" s="337">
        <f>+VLOOKUP($C150,'7.Balansstanden'!$D:$H,3,FALSE)</f>
        <v>4503</v>
      </c>
      <c r="E150" s="337">
        <f>+VLOOKUP($C150,'7.Balansstanden'!$D:$H,5,FALSE)</f>
        <v>4421</v>
      </c>
      <c r="F150" s="337">
        <f t="shared" si="24"/>
        <v>-82</v>
      </c>
      <c r="G150" s="337">
        <f>+VLOOKUP($C150,'5.Verdelingsmatrix lasten'!$A:$AN,40,FALSE)</f>
        <v>-82</v>
      </c>
      <c r="H150" s="337">
        <f>+VLOOKUP($C150,'6.Verdelingsmatrix baten'!$A:$AP,42,FALSE)</f>
        <v>0</v>
      </c>
      <c r="I150" s="337">
        <f t="shared" si="25"/>
        <v>-82</v>
      </c>
      <c r="J150" s="337">
        <f t="shared" si="26"/>
        <v>0</v>
      </c>
      <c r="K150" s="337">
        <f t="shared" si="27"/>
        <v>8924</v>
      </c>
      <c r="L150" s="288"/>
    </row>
    <row r="151" spans="1:12" x14ac:dyDescent="0.2">
      <c r="A151" s="288"/>
      <c r="B151" s="292"/>
      <c r="C151" s="289" t="s">
        <v>758</v>
      </c>
      <c r="D151" s="337">
        <f>+VLOOKUP($C151,'7.Balansstanden'!$D:$H,3,FALSE)</f>
        <v>0</v>
      </c>
      <c r="E151" s="337">
        <f>+VLOOKUP($C151,'7.Balansstanden'!$D:$H,5,FALSE)</f>
        <v>0</v>
      </c>
      <c r="F151" s="337">
        <f t="shared" si="24"/>
        <v>0</v>
      </c>
      <c r="G151" s="337">
        <f>+VLOOKUP($C151,'5.Verdelingsmatrix lasten'!$A:$AN,40,FALSE)</f>
        <v>0</v>
      </c>
      <c r="H151" s="337">
        <f>+VLOOKUP($C151,'6.Verdelingsmatrix baten'!$A:$AP,42,FALSE)</f>
        <v>0</v>
      </c>
      <c r="I151" s="337">
        <f t="shared" si="25"/>
        <v>0</v>
      </c>
      <c r="J151" s="337">
        <f t="shared" si="26"/>
        <v>0</v>
      </c>
      <c r="K151" s="337">
        <f t="shared" si="27"/>
        <v>0</v>
      </c>
      <c r="L151" s="288"/>
    </row>
    <row r="152" spans="1:12" x14ac:dyDescent="0.2">
      <c r="A152" s="288"/>
      <c r="B152" s="292"/>
      <c r="C152" s="289" t="s">
        <v>358</v>
      </c>
      <c r="D152" s="322">
        <f>+VLOOKUP($C152,'7.Balansstanden'!$D:$H,3,FALSE)</f>
        <v>933612</v>
      </c>
      <c r="E152" s="322">
        <f>+VLOOKUP($C152,'7.Balansstanden'!$D:$H,5,FALSE)</f>
        <v>940883</v>
      </c>
      <c r="F152" s="322">
        <f t="shared" si="8"/>
        <v>7271</v>
      </c>
      <c r="G152" s="322">
        <f>+VLOOKUP($C152,'5.Verdelingsmatrix lasten'!$A:$AN,40,FALSE)</f>
        <v>174254</v>
      </c>
      <c r="H152" s="322">
        <f>+VLOOKUP($C152,'6.Verdelingsmatrix baten'!$A:$AP,42,FALSE)</f>
        <v>181525</v>
      </c>
      <c r="I152" s="322">
        <f>+H152-G152</f>
        <v>7271</v>
      </c>
      <c r="J152" s="322">
        <f>IF('4.Informatie'!$C$8&lt;&gt;5,0,ABS(+F152-I152))</f>
        <v>0</v>
      </c>
      <c r="K152" s="322">
        <f>IF('4.Informatie'!$C$8&lt;&gt;5,0,ABS(D152)+ABS(E152))</f>
        <v>1874495</v>
      </c>
      <c r="L152" s="288"/>
    </row>
    <row r="153" spans="1:12" x14ac:dyDescent="0.2">
      <c r="A153" s="288"/>
      <c r="B153" s="292"/>
      <c r="C153" s="289" t="s">
        <v>360</v>
      </c>
      <c r="D153" s="322">
        <f>+VLOOKUP($C153,'7.Balansstanden'!$D:$H,3,FALSE)</f>
        <v>666316</v>
      </c>
      <c r="E153" s="322">
        <f>+VLOOKUP($C153,'7.Balansstanden'!$D:$H,5,FALSE)</f>
        <v>637887</v>
      </c>
      <c r="F153" s="322">
        <f t="shared" si="8"/>
        <v>-28429</v>
      </c>
      <c r="G153" s="322">
        <f>+VLOOKUP($C153,'5.Verdelingsmatrix lasten'!$A:$AN,40,FALSE)</f>
        <v>137192</v>
      </c>
      <c r="H153" s="322">
        <f>+VLOOKUP($C153,'6.Verdelingsmatrix baten'!$A:$AP,42,FALSE)</f>
        <v>108764</v>
      </c>
      <c r="I153" s="322">
        <f t="shared" ref="I153:I180" si="28">+H153-G153</f>
        <v>-28428</v>
      </c>
      <c r="J153" s="322">
        <f>IF('4.Informatie'!$C$8&lt;&gt;5,0,ABS(+F153-I153))</f>
        <v>1</v>
      </c>
      <c r="K153" s="322">
        <f>IF('4.Informatie'!$C$8&lt;&gt;5,0,ABS(D153)+ABS(E153))</f>
        <v>1304203</v>
      </c>
      <c r="L153" s="288"/>
    </row>
    <row r="154" spans="1:12" x14ac:dyDescent="0.2">
      <c r="A154" s="288"/>
      <c r="B154" s="292"/>
      <c r="C154" s="289" t="s">
        <v>362</v>
      </c>
      <c r="D154" s="322">
        <f>+VLOOKUP($C154,'7.Balansstanden'!$D:$H,3,FALSE)</f>
        <v>99293</v>
      </c>
      <c r="E154" s="322">
        <f>+VLOOKUP($C154,'7.Balansstanden'!$D:$H,5,FALSE)</f>
        <v>85303</v>
      </c>
      <c r="F154" s="322">
        <f t="shared" si="8"/>
        <v>-13990</v>
      </c>
      <c r="G154" s="322">
        <f>+VLOOKUP($C154,'5.Verdelingsmatrix lasten'!$A:$AN,40,FALSE)</f>
        <v>0</v>
      </c>
      <c r="H154" s="322">
        <f>+VLOOKUP($C154,'6.Verdelingsmatrix baten'!$A:$AP,42,FALSE)</f>
        <v>-13990</v>
      </c>
      <c r="I154" s="322">
        <f t="shared" si="28"/>
        <v>-13990</v>
      </c>
      <c r="J154" s="322">
        <f>IF('4.Informatie'!$C$8&lt;&gt;5,0,ABS(+F154-I154))</f>
        <v>0</v>
      </c>
      <c r="K154" s="322">
        <f>IF('4.Informatie'!$C$8&lt;&gt;5,0,ABS(D154)+ABS(E154))</f>
        <v>184596</v>
      </c>
      <c r="L154" s="288"/>
    </row>
    <row r="155" spans="1:12" x14ac:dyDescent="0.2">
      <c r="A155" s="288"/>
      <c r="B155" s="292"/>
      <c r="C155" s="289" t="s">
        <v>364</v>
      </c>
      <c r="D155" s="322">
        <f>+VLOOKUP($C155,'7.Balansstanden'!$D:$H,3,FALSE)</f>
        <v>52862</v>
      </c>
      <c r="E155" s="322">
        <f>+VLOOKUP($C155,'7.Balansstanden'!$D:$H,5,FALSE)</f>
        <v>76017</v>
      </c>
      <c r="F155" s="322">
        <f t="shared" si="8"/>
        <v>23155</v>
      </c>
      <c r="G155" s="322">
        <f>+VLOOKUP($C155,'5.Verdelingsmatrix lasten'!$A:$AN,40,FALSE)</f>
        <v>11506</v>
      </c>
      <c r="H155" s="322">
        <f>+VLOOKUP($C155,'6.Verdelingsmatrix baten'!$A:$AP,42,FALSE)</f>
        <v>34662</v>
      </c>
      <c r="I155" s="322">
        <f t="shared" si="28"/>
        <v>23156</v>
      </c>
      <c r="J155" s="322">
        <f>IF('4.Informatie'!$C$8&lt;&gt;5,0,ABS(+F155-I155))</f>
        <v>1</v>
      </c>
      <c r="K155" s="322">
        <f>IF('4.Informatie'!$C$8&lt;&gt;5,0,ABS(D155)+ABS(E155))</f>
        <v>128879</v>
      </c>
      <c r="L155" s="288"/>
    </row>
    <row r="156" spans="1:12" x14ac:dyDescent="0.2">
      <c r="A156" s="288"/>
      <c r="B156" s="292"/>
      <c r="C156" s="289" t="s">
        <v>366</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368</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370</v>
      </c>
      <c r="D158" s="337">
        <f>+VLOOKUP($C158,'7.Balansstanden'!$D:$H,3,FALSE)</f>
        <v>543</v>
      </c>
      <c r="E158" s="337">
        <f>+VLOOKUP($C158,'7.Balansstanden'!$D:$H,5,FALSE)</f>
        <v>363</v>
      </c>
      <c r="F158" s="337">
        <f t="shared" si="8"/>
        <v>-180</v>
      </c>
      <c r="G158" s="337">
        <f>+VLOOKUP($C158,'5.Verdelingsmatrix lasten'!$A:$AN,40,FALSE)</f>
        <v>0</v>
      </c>
      <c r="H158" s="337">
        <f>+VLOOKUP($C158,'6.Verdelingsmatrix baten'!$A:$AP,42,FALSE)</f>
        <v>-181</v>
      </c>
      <c r="I158" s="337">
        <f t="shared" si="28"/>
        <v>-181</v>
      </c>
      <c r="J158" s="337">
        <f t="shared" si="10"/>
        <v>1</v>
      </c>
      <c r="K158" s="337">
        <f t="shared" si="11"/>
        <v>906</v>
      </c>
      <c r="L158" s="288"/>
    </row>
    <row r="159" spans="1:12" x14ac:dyDescent="0.2">
      <c r="A159" s="288"/>
      <c r="B159" s="292"/>
      <c r="C159" s="289" t="s">
        <v>372</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374</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782</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783</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784</v>
      </c>
      <c r="D163" s="337">
        <f>+VLOOKUP($C163,'7.Balansstanden'!$D:$H,3,FALSE)</f>
        <v>11560</v>
      </c>
      <c r="E163" s="337">
        <f>+VLOOKUP($C163,'7.Balansstanden'!$D:$H,5,FALSE)</f>
        <v>10532</v>
      </c>
      <c r="F163" s="337">
        <f t="shared" si="29"/>
        <v>-1028</v>
      </c>
      <c r="G163" s="337">
        <f>+VLOOKUP($C163,'5.Verdelingsmatrix lasten'!$A:$AN,40,FALSE)</f>
        <v>0</v>
      </c>
      <c r="H163" s="337">
        <f>+VLOOKUP($C163,'6.Verdelingsmatrix baten'!$A:$AP,42,FALSE)</f>
        <v>-1029</v>
      </c>
      <c r="I163" s="337">
        <f t="shared" si="30"/>
        <v>-1029</v>
      </c>
      <c r="J163" s="337">
        <f t="shared" si="31"/>
        <v>1</v>
      </c>
      <c r="K163" s="337">
        <f t="shared" si="32"/>
        <v>22092</v>
      </c>
      <c r="L163" s="288"/>
    </row>
    <row r="164" spans="1:12" x14ac:dyDescent="0.2">
      <c r="A164" s="288"/>
      <c r="B164" s="292"/>
      <c r="C164" s="289" t="s">
        <v>376</v>
      </c>
      <c r="D164" s="337">
        <f>+VLOOKUP($C164,'7.Balansstanden'!$D:$H,3,FALSE)</f>
        <v>23742</v>
      </c>
      <c r="E164" s="337">
        <f>+VLOOKUP($C164,'7.Balansstanden'!$D:$H,5,FALSE)</f>
        <v>19286</v>
      </c>
      <c r="F164" s="337">
        <f t="shared" si="8"/>
        <v>-4456</v>
      </c>
      <c r="G164" s="337">
        <f>+VLOOKUP($C164,'5.Verdelingsmatrix lasten'!$A:$AN,40,FALSE)</f>
        <v>0</v>
      </c>
      <c r="H164" s="337">
        <f>+VLOOKUP($C164,'6.Verdelingsmatrix baten'!$A:$AP,42,FALSE)</f>
        <v>-4456</v>
      </c>
      <c r="I164" s="337">
        <f t="shared" si="28"/>
        <v>-4456</v>
      </c>
      <c r="J164" s="337">
        <f t="shared" si="10"/>
        <v>0</v>
      </c>
      <c r="K164" s="337">
        <f t="shared" si="11"/>
        <v>43028</v>
      </c>
      <c r="L164" s="288"/>
    </row>
    <row r="165" spans="1:12" x14ac:dyDescent="0.2">
      <c r="A165" s="288"/>
      <c r="B165" s="292"/>
      <c r="C165" s="289" t="s">
        <v>378</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380</v>
      </c>
      <c r="D166" s="337">
        <f>+VLOOKUP($C166,'7.Balansstanden'!$D:$H,3,FALSE)</f>
        <v>2257</v>
      </c>
      <c r="E166" s="337">
        <f>+VLOOKUP($C166,'7.Balansstanden'!$D:$H,5,FALSE)</f>
        <v>3563</v>
      </c>
      <c r="F166" s="337">
        <f t="shared" si="8"/>
        <v>1306</v>
      </c>
      <c r="G166" s="337">
        <f>+VLOOKUP($C166,'5.Verdelingsmatrix lasten'!$A:$AN,40,FALSE)</f>
        <v>0</v>
      </c>
      <c r="H166" s="337">
        <f>+VLOOKUP($C166,'6.Verdelingsmatrix baten'!$A:$AP,42,FALSE)</f>
        <v>1306</v>
      </c>
      <c r="I166" s="337">
        <f t="shared" si="28"/>
        <v>1306</v>
      </c>
      <c r="J166" s="337">
        <f t="shared" si="10"/>
        <v>0</v>
      </c>
      <c r="K166" s="337">
        <f t="shared" si="11"/>
        <v>5820</v>
      </c>
      <c r="L166" s="288"/>
    </row>
    <row r="167" spans="1:12" x14ac:dyDescent="0.2">
      <c r="A167" s="288"/>
      <c r="B167" s="292"/>
      <c r="C167" s="289" t="s">
        <v>382</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619</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386</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785</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787</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789</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387</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389</v>
      </c>
      <c r="D174" s="337">
        <f>+VLOOKUP($C174,'7.Balansstanden'!$D:$H,3,FALSE)</f>
        <v>34856</v>
      </c>
      <c r="E174" s="337">
        <f>+VLOOKUP($C174,'7.Balansstanden'!$D:$H,5,FALSE)</f>
        <v>42854</v>
      </c>
      <c r="F174" s="337">
        <f t="shared" si="37"/>
        <v>7998</v>
      </c>
      <c r="G174" s="337">
        <f>+VLOOKUP($C174,'5.Verdelingsmatrix lasten'!$A:$AN,40,FALSE)</f>
        <v>0</v>
      </c>
      <c r="H174" s="337">
        <f>+VLOOKUP($C174,'6.Verdelingsmatrix baten'!$A:$AP,42,FALSE)</f>
        <v>7999</v>
      </c>
      <c r="I174" s="337">
        <f t="shared" si="38"/>
        <v>7999</v>
      </c>
      <c r="J174" s="337">
        <f t="shared" si="39"/>
        <v>1</v>
      </c>
      <c r="K174" s="337">
        <f t="shared" si="40"/>
        <v>77710</v>
      </c>
      <c r="L174" s="288"/>
    </row>
    <row r="175" spans="1:12" x14ac:dyDescent="0.2">
      <c r="A175" s="288"/>
      <c r="B175" s="292"/>
      <c r="C175" s="289" t="s">
        <v>390</v>
      </c>
      <c r="D175" s="337">
        <f>+VLOOKUP($C175,'7.Balansstanden'!$D:$H,3,FALSE)</f>
        <v>14819</v>
      </c>
      <c r="E175" s="337">
        <f>+VLOOKUP($C175,'7.Balansstanden'!$D:$H,5,FALSE)</f>
        <v>16628</v>
      </c>
      <c r="F175" s="337">
        <f t="shared" si="37"/>
        <v>1809</v>
      </c>
      <c r="G175" s="337">
        <f>+VLOOKUP($C175,'5.Verdelingsmatrix lasten'!$A:$AN,40,FALSE)</f>
        <v>0</v>
      </c>
      <c r="H175" s="337">
        <f>+VLOOKUP($C175,'6.Verdelingsmatrix baten'!$A:$AP,42,FALSE)</f>
        <v>1809</v>
      </c>
      <c r="I175" s="337">
        <f t="shared" si="38"/>
        <v>1809</v>
      </c>
      <c r="J175" s="337">
        <f t="shared" si="39"/>
        <v>0</v>
      </c>
      <c r="K175" s="337">
        <f t="shared" si="40"/>
        <v>31447</v>
      </c>
      <c r="L175" s="288"/>
    </row>
    <row r="176" spans="1:12" x14ac:dyDescent="0.2">
      <c r="A176" s="288"/>
      <c r="B176" s="292"/>
      <c r="C176" s="289" t="s">
        <v>392</v>
      </c>
      <c r="D176" s="337">
        <f>+VLOOKUP($C176,'7.Balansstanden'!$D:$H,3,FALSE)</f>
        <v>313876</v>
      </c>
      <c r="E176" s="337">
        <f>+VLOOKUP($C176,'7.Balansstanden'!$D:$H,5,FALSE)</f>
        <v>337043</v>
      </c>
      <c r="F176" s="337">
        <f t="shared" si="37"/>
        <v>23167</v>
      </c>
      <c r="G176" s="337">
        <f>+VLOOKUP($C176,'5.Verdelingsmatrix lasten'!$A:$AN,40,FALSE)</f>
        <v>0</v>
      </c>
      <c r="H176" s="337">
        <f>+VLOOKUP($C176,'6.Verdelingsmatrix baten'!$A:$AP,42,FALSE)</f>
        <v>23167</v>
      </c>
      <c r="I176" s="337">
        <f t="shared" si="38"/>
        <v>23167</v>
      </c>
      <c r="J176" s="337">
        <f t="shared" si="39"/>
        <v>0</v>
      </c>
      <c r="K176" s="337">
        <f t="shared" si="40"/>
        <v>650919</v>
      </c>
      <c r="L176" s="288"/>
    </row>
    <row r="177" spans="1:12" x14ac:dyDescent="0.2">
      <c r="A177" s="288"/>
      <c r="B177" s="292"/>
      <c r="C177" s="289" t="s">
        <v>394</v>
      </c>
      <c r="D177" s="337">
        <f>+VLOOKUP($C177,'7.Balansstanden'!$D:$H,3,FALSE)</f>
        <v>119265</v>
      </c>
      <c r="E177" s="337">
        <f>+VLOOKUP($C177,'7.Balansstanden'!$D:$H,5,FALSE)</f>
        <v>129904</v>
      </c>
      <c r="F177" s="337">
        <f t="shared" si="37"/>
        <v>10639</v>
      </c>
      <c r="G177" s="337">
        <f>+VLOOKUP($C177,'5.Verdelingsmatrix lasten'!$A:$AN,40,FALSE)</f>
        <v>0</v>
      </c>
      <c r="H177" s="337">
        <f>+VLOOKUP($C177,'6.Verdelingsmatrix baten'!$A:$AP,42,FALSE)</f>
        <v>10638</v>
      </c>
      <c r="I177" s="337">
        <f t="shared" si="38"/>
        <v>10638</v>
      </c>
      <c r="J177" s="337">
        <f t="shared" si="39"/>
        <v>1</v>
      </c>
      <c r="K177" s="337">
        <f t="shared" si="40"/>
        <v>249169</v>
      </c>
      <c r="L177" s="288"/>
    </row>
    <row r="178" spans="1:12" x14ac:dyDescent="0.2">
      <c r="A178" s="288"/>
      <c r="B178" s="292"/>
      <c r="C178" s="289" t="s">
        <v>763</v>
      </c>
      <c r="D178" s="337">
        <f>+VLOOKUP($C178,'7.Balansstanden'!$D:$H,3,FALSE)</f>
        <v>14380</v>
      </c>
      <c r="E178" s="337">
        <f>+VLOOKUP($C178,'7.Balansstanden'!$D:$H,5,FALSE)</f>
        <v>14160</v>
      </c>
      <c r="F178" s="337">
        <f t="shared" si="37"/>
        <v>-220</v>
      </c>
      <c r="G178" s="337">
        <f>+VLOOKUP($C178,'5.Verdelingsmatrix lasten'!$A:$AN,40,FALSE)</f>
        <v>0</v>
      </c>
      <c r="H178" s="337">
        <f>+VLOOKUP($C178,'6.Verdelingsmatrix baten'!$A:$AP,42,FALSE)</f>
        <v>-220</v>
      </c>
      <c r="I178" s="337">
        <f t="shared" si="38"/>
        <v>-220</v>
      </c>
      <c r="J178" s="337">
        <f t="shared" si="39"/>
        <v>0</v>
      </c>
      <c r="K178" s="337">
        <f t="shared" si="40"/>
        <v>28540</v>
      </c>
      <c r="L178" s="288"/>
    </row>
    <row r="179" spans="1:12" x14ac:dyDescent="0.2">
      <c r="A179" s="288"/>
      <c r="B179" s="292"/>
      <c r="C179" s="289" t="s">
        <v>764</v>
      </c>
      <c r="D179" s="337">
        <f>+VLOOKUP($C179,'7.Balansstanden'!$D:$H,3,FALSE)</f>
        <v>3853</v>
      </c>
      <c r="E179" s="337">
        <f>+VLOOKUP($C179,'7.Balansstanden'!$D:$H,5,FALSE)</f>
        <v>3503</v>
      </c>
      <c r="F179" s="337">
        <f t="shared" si="37"/>
        <v>-350</v>
      </c>
      <c r="G179" s="337">
        <f>+VLOOKUP($C179,'5.Verdelingsmatrix lasten'!$A:$AN,40,FALSE)</f>
        <v>0</v>
      </c>
      <c r="H179" s="337">
        <f>+VLOOKUP($C179,'6.Verdelingsmatrix baten'!$A:$AP,42,FALSE)</f>
        <v>-350</v>
      </c>
      <c r="I179" s="337">
        <f t="shared" si="38"/>
        <v>-350</v>
      </c>
      <c r="J179" s="337">
        <f t="shared" si="39"/>
        <v>0</v>
      </c>
      <c r="K179" s="337">
        <f t="shared" si="40"/>
        <v>7356</v>
      </c>
      <c r="L179" s="288"/>
    </row>
    <row r="180" spans="1:12" x14ac:dyDescent="0.2">
      <c r="A180" s="288"/>
      <c r="B180" s="295"/>
      <c r="C180" s="296" t="s">
        <v>394</v>
      </c>
      <c r="D180" s="338">
        <f>+VLOOKUP($C180,'7.Balansstanden'!$D:$H,3,FALSE)</f>
        <v>119265</v>
      </c>
      <c r="E180" s="338">
        <f>+VLOOKUP($C180,'7.Balansstanden'!$D:$H,5,FALSE)</f>
        <v>129904</v>
      </c>
      <c r="F180" s="338">
        <f t="shared" si="8"/>
        <v>10639</v>
      </c>
      <c r="G180" s="338">
        <f>+VLOOKUP($C180,'5.Verdelingsmatrix lasten'!$A:$AN,40,FALSE)</f>
        <v>0</v>
      </c>
      <c r="H180" s="338">
        <f>+VLOOKUP($C180,'6.Verdelingsmatrix baten'!$A:$AP,42,FALSE)</f>
        <v>10638</v>
      </c>
      <c r="I180" s="338">
        <f t="shared" si="28"/>
        <v>10638</v>
      </c>
      <c r="J180" s="338">
        <f t="shared" si="10"/>
        <v>1</v>
      </c>
      <c r="K180" s="338">
        <f t="shared" si="11"/>
        <v>249169</v>
      </c>
      <c r="L180" s="288"/>
    </row>
    <row r="181" spans="1:12" x14ac:dyDescent="0.2">
      <c r="A181" s="288"/>
      <c r="B181" s="280" t="s">
        <v>519</v>
      </c>
      <c r="C181" s="298" t="s">
        <v>548</v>
      </c>
      <c r="D181" s="322"/>
      <c r="E181" s="322"/>
      <c r="F181" s="322"/>
      <c r="G181" s="322"/>
      <c r="H181" s="322"/>
      <c r="I181" s="322"/>
      <c r="J181" s="324">
        <f>IF('4.Informatie'!C8=0,"-",SUM(J105:J180))</f>
        <v>2514</v>
      </c>
      <c r="K181" s="324"/>
      <c r="L181" s="288"/>
    </row>
    <row r="182" spans="1:12" x14ac:dyDescent="0.2">
      <c r="A182" s="288"/>
      <c r="B182" s="280" t="s">
        <v>521</v>
      </c>
      <c r="C182" s="298" t="s">
        <v>549</v>
      </c>
      <c r="D182" s="322"/>
      <c r="E182" s="322"/>
      <c r="F182" s="322"/>
      <c r="G182" s="322"/>
      <c r="H182" s="322"/>
      <c r="I182" s="322"/>
      <c r="J182" s="324"/>
      <c r="K182" s="324">
        <f>IF('4.Informatie'!C8=0,"-",SUM(K105:K180)/2)</f>
        <v>4736508.5</v>
      </c>
      <c r="L182" s="288"/>
    </row>
    <row r="183" spans="1:12" x14ac:dyDescent="0.2">
      <c r="A183" s="288"/>
      <c r="B183" s="280" t="s">
        <v>534</v>
      </c>
      <c r="C183" s="284" t="s">
        <v>527</v>
      </c>
      <c r="D183" s="297"/>
      <c r="E183" s="297"/>
      <c r="F183" s="297"/>
      <c r="G183" s="297"/>
      <c r="H183" s="297"/>
      <c r="I183" s="297"/>
      <c r="J183" s="290"/>
      <c r="K183" s="315">
        <f>IF('4.Informatie'!C8=0,"-",IF(SUM($D$105:$D$180)=0,"primo leeg",IF(SUM($D$105:$D$151)=0,"primo activa leeg",IF(SUM($D$152:$D$180)=0,"primo passiva leeg",+$J$181/$K$182))))</f>
        <v>5.3077071433525345E-4</v>
      </c>
      <c r="L183" s="288"/>
    </row>
    <row r="184" spans="1:12" ht="12.75" customHeight="1" x14ac:dyDescent="0.2">
      <c r="A184" s="288"/>
      <c r="B184" s="292"/>
      <c r="C184" s="284" t="s">
        <v>528</v>
      </c>
      <c r="D184" s="576" t="str">
        <f>IF('4.Informatie'!C8&lt;&gt;0,IF(OR(K183="primo leeg",K183="primo activa leeg",K183="primo passiva leeg"),"onvoldoende",IF(K183&lt;=0.01,"voldoende","onvoldoende")), "nvt")</f>
        <v>voldoende</v>
      </c>
      <c r="E184" s="576"/>
      <c r="F184" s="576"/>
      <c r="G184" s="576"/>
      <c r="H184" s="576"/>
      <c r="I184" s="576"/>
      <c r="J184" s="576"/>
      <c r="K184" s="576"/>
      <c r="L184" s="288"/>
    </row>
    <row r="185" spans="1:12" x14ac:dyDescent="0.2">
      <c r="A185" s="288"/>
      <c r="B185" s="288"/>
      <c r="C185" s="288"/>
      <c r="D185" s="288"/>
      <c r="E185" s="288"/>
      <c r="F185" s="288"/>
      <c r="G185" s="288"/>
      <c r="H185" s="288"/>
      <c r="I185" s="288"/>
      <c r="J185" s="288"/>
      <c r="K185" s="288"/>
      <c r="L185" s="288"/>
    </row>
    <row r="187" spans="1:12" x14ac:dyDescent="0.2">
      <c r="A187" s="283" t="s">
        <v>550</v>
      </c>
      <c r="B187" s="288"/>
      <c r="C187" s="288" t="s">
        <v>512</v>
      </c>
      <c r="D187" s="288"/>
      <c r="E187" s="288"/>
      <c r="F187" s="288"/>
      <c r="G187" s="288"/>
    </row>
    <row r="188" spans="1:12" x14ac:dyDescent="0.2">
      <c r="A188" s="288"/>
      <c r="B188" s="292"/>
      <c r="C188" s="292"/>
      <c r="D188" s="298" t="s">
        <v>537</v>
      </c>
      <c r="E188" s="298" t="s">
        <v>538</v>
      </c>
      <c r="F188" s="298"/>
      <c r="G188" s="299"/>
    </row>
    <row r="189" spans="1:12" x14ac:dyDescent="0.2">
      <c r="A189" s="288"/>
      <c r="B189" s="292"/>
      <c r="C189" s="292"/>
      <c r="D189" s="284" t="s">
        <v>519</v>
      </c>
      <c r="E189" s="284" t="s">
        <v>521</v>
      </c>
      <c r="F189" s="284" t="s">
        <v>551</v>
      </c>
      <c r="G189" s="285"/>
    </row>
    <row r="190" spans="1:12" x14ac:dyDescent="0.2">
      <c r="A190" s="288"/>
      <c r="B190" s="293"/>
      <c r="C190" s="291" t="s">
        <v>137</v>
      </c>
      <c r="D190" s="321">
        <f>+'5.Verdelingsmatrix lasten'!$AI$174</f>
        <v>587504</v>
      </c>
      <c r="E190" s="321">
        <f>+'6.Verdelingsmatrix baten'!$AK$174</f>
        <v>587505</v>
      </c>
      <c r="F190" s="321">
        <f>+ABS(D190-E190)</f>
        <v>1</v>
      </c>
      <c r="G190" s="288"/>
    </row>
    <row r="191" spans="1:12" x14ac:dyDescent="0.2">
      <c r="A191" s="288"/>
      <c r="B191" s="292"/>
      <c r="C191" s="289" t="s">
        <v>138</v>
      </c>
      <c r="D191" s="322">
        <f>+'5.Verdelingsmatrix lasten'!$AJ$174</f>
        <v>41678</v>
      </c>
      <c r="E191" s="322">
        <f>+'6.Verdelingsmatrix baten'!$AL$174</f>
        <v>41436</v>
      </c>
      <c r="F191" s="322">
        <f>+ABS(D191-E191)</f>
        <v>242</v>
      </c>
      <c r="G191" s="288"/>
    </row>
    <row r="192" spans="1:12" x14ac:dyDescent="0.2">
      <c r="A192" s="288"/>
      <c r="B192" s="292"/>
      <c r="C192" s="286" t="s">
        <v>139</v>
      </c>
      <c r="D192" s="322">
        <f>+'5.Verdelingsmatrix lasten'!$AK$174</f>
        <v>25280</v>
      </c>
      <c r="E192" s="322">
        <f>+'6.Verdelingsmatrix baten'!$AM$174</f>
        <v>25281</v>
      </c>
      <c r="F192" s="322">
        <f>+ABS(D192-E192)</f>
        <v>1</v>
      </c>
      <c r="G192" s="288"/>
    </row>
    <row r="193" spans="1:7" x14ac:dyDescent="0.2">
      <c r="A193" s="288"/>
      <c r="B193" s="292"/>
      <c r="C193" s="286" t="s">
        <v>140</v>
      </c>
      <c r="D193" s="322">
        <f>+'5.Verdelingsmatrix lasten'!$AL$174</f>
        <v>0</v>
      </c>
      <c r="E193" s="322">
        <f>+'6.Verdelingsmatrix baten'!$AN$174</f>
        <v>0</v>
      </c>
      <c r="F193" s="322">
        <f>+ABS(D193-E193)</f>
        <v>0</v>
      </c>
      <c r="G193" s="288"/>
    </row>
    <row r="194" spans="1:7" x14ac:dyDescent="0.2">
      <c r="A194" s="288"/>
      <c r="B194" s="295"/>
      <c r="C194" s="279" t="s">
        <v>141</v>
      </c>
      <c r="D194" s="323">
        <f>+'5.Verdelingsmatrix lasten'!$AM$174</f>
        <v>46219</v>
      </c>
      <c r="E194" s="323">
        <f>+'6.Verdelingsmatrix baten'!$AO$174</f>
        <v>46218</v>
      </c>
      <c r="F194" s="323">
        <f>+ABS(D194-E194)</f>
        <v>1</v>
      </c>
      <c r="G194" s="288"/>
    </row>
    <row r="195" spans="1:7" x14ac:dyDescent="0.2">
      <c r="A195" s="288"/>
      <c r="B195" s="280" t="s">
        <v>519</v>
      </c>
      <c r="C195" s="284" t="s">
        <v>552</v>
      </c>
      <c r="D195" s="322"/>
      <c r="E195" s="322"/>
      <c r="F195" s="324">
        <f>IF('4.Informatie'!C8=0,"-",SUM($F$190:$F$194))</f>
        <v>245</v>
      </c>
      <c r="G195" s="288"/>
    </row>
    <row r="196" spans="1:7" x14ac:dyDescent="0.2">
      <c r="A196" s="288"/>
      <c r="B196" s="280" t="s">
        <v>521</v>
      </c>
      <c r="C196" s="284" t="s">
        <v>520</v>
      </c>
      <c r="D196" s="322"/>
      <c r="E196" s="322"/>
      <c r="F196" s="324">
        <f>+$D$27</f>
        <v>625446</v>
      </c>
      <c r="G196" s="288"/>
    </row>
    <row r="197" spans="1:7" x14ac:dyDescent="0.2">
      <c r="A197" s="288"/>
      <c r="B197" s="280" t="s">
        <v>534</v>
      </c>
      <c r="C197" s="284" t="s">
        <v>527</v>
      </c>
      <c r="D197" s="297"/>
      <c r="E197" s="297"/>
      <c r="F197" s="315">
        <f>IF('4.Informatie'!C8=0,"-",IF(ISERROR(F195/F196),1,F195/F196))</f>
        <v>3.9172046827383981E-4</v>
      </c>
      <c r="G197" s="288"/>
    </row>
    <row r="198" spans="1:7" ht="12.75" customHeight="1" x14ac:dyDescent="0.2">
      <c r="A198" s="288"/>
      <c r="B198" s="292"/>
      <c r="C198" s="284" t="s">
        <v>528</v>
      </c>
      <c r="D198" s="576" t="str">
        <f>IF('4.Informatie'!C8&lt;&gt;0,IF(F197&lt;=0.01,"voldoende","onvoldoende"),"nvt")</f>
        <v>voldoende</v>
      </c>
      <c r="E198" s="576"/>
      <c r="F198" s="576"/>
      <c r="G198" s="288"/>
    </row>
    <row r="199" spans="1:7" x14ac:dyDescent="0.2">
      <c r="A199" s="288"/>
      <c r="B199" s="288"/>
      <c r="C199" s="288"/>
      <c r="D199" s="288"/>
      <c r="E199" s="288"/>
      <c r="F199" s="288"/>
      <c r="G199" s="288"/>
    </row>
    <row r="201" spans="1:7" x14ac:dyDescent="0.2">
      <c r="A201" s="283" t="s">
        <v>553</v>
      </c>
      <c r="B201" s="288"/>
      <c r="C201" s="288" t="s">
        <v>513</v>
      </c>
      <c r="D201" s="288"/>
      <c r="E201" s="288"/>
      <c r="F201" s="288"/>
      <c r="G201" s="288"/>
    </row>
    <row r="202" spans="1:7" x14ac:dyDescent="0.2">
      <c r="A202" s="288"/>
      <c r="B202" s="292"/>
      <c r="C202" s="292"/>
      <c r="D202" s="298" t="s">
        <v>537</v>
      </c>
      <c r="E202" s="298" t="s">
        <v>538</v>
      </c>
      <c r="F202" s="298"/>
      <c r="G202" s="288"/>
    </row>
    <row r="203" spans="1:7" x14ac:dyDescent="0.2">
      <c r="A203" s="288"/>
      <c r="B203" s="292"/>
      <c r="C203" s="292"/>
      <c r="D203" s="284" t="s">
        <v>519</v>
      </c>
      <c r="E203" s="284" t="s">
        <v>521</v>
      </c>
      <c r="F203" s="284" t="s">
        <v>532</v>
      </c>
      <c r="G203" s="288"/>
    </row>
    <row r="204" spans="1:7" x14ac:dyDescent="0.2">
      <c r="A204" s="288"/>
      <c r="B204" s="293"/>
      <c r="C204" s="398" t="s">
        <v>692</v>
      </c>
      <c r="D204" s="399">
        <f>+'5.Verdelingsmatrix lasten'!$AH$80</f>
        <v>0</v>
      </c>
      <c r="E204" s="399">
        <f>+'6.Verdelingsmatrix baten'!$AJ$80-'6.Verdelingsmatrix baten'!$AJ$8-'6.Verdelingsmatrix baten'!$AJ$7</f>
        <v>22</v>
      </c>
      <c r="F204" s="399">
        <f>+ABS(D204)+ABS(E204)</f>
        <v>22</v>
      </c>
      <c r="G204" s="288"/>
    </row>
    <row r="205" spans="1:7" x14ac:dyDescent="0.2">
      <c r="A205" s="288"/>
      <c r="B205" s="292"/>
      <c r="C205" s="280" t="s">
        <v>554</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425</v>
      </c>
      <c r="D206" s="322">
        <f>SUM('5.Verdelingsmatrix lasten'!$AH$88:$AH$94)</f>
        <v>0</v>
      </c>
      <c r="E206" s="322">
        <f>+SUM('6.Verdelingsmatrix baten'!$AJ$88:$AJ$94)</f>
        <v>0</v>
      </c>
      <c r="F206" s="322">
        <f>+ABS(D206)+ABS(E206)</f>
        <v>0</v>
      </c>
      <c r="G206" s="288"/>
    </row>
    <row r="207" spans="1:7" x14ac:dyDescent="0.2">
      <c r="A207" s="288"/>
      <c r="B207" s="292"/>
      <c r="C207" s="292" t="s">
        <v>443</v>
      </c>
      <c r="D207" s="322">
        <f>+SUM('5.Verdelingsmatrix lasten'!$AH$111:$AH$114)</f>
        <v>0</v>
      </c>
      <c r="E207" s="322">
        <f>SUM('6.Verdelingsmatrix baten'!$AJ$111:$AJ$114)</f>
        <v>0</v>
      </c>
      <c r="F207" s="322">
        <f>+ABS(D207)+ABS(E207)</f>
        <v>0</v>
      </c>
      <c r="G207" s="288"/>
    </row>
    <row r="208" spans="1:7" x14ac:dyDescent="0.2">
      <c r="A208" s="288"/>
      <c r="B208" s="295"/>
      <c r="C208" s="295" t="s">
        <v>555</v>
      </c>
      <c r="D208" s="323">
        <f>+SUM('5.Verdelingsmatrix lasten'!$AH$138:$AH$141)</f>
        <v>0</v>
      </c>
      <c r="E208" s="323">
        <f>+SUM('6.Verdelingsmatrix baten'!$AJ$138:$AJ$141)</f>
        <v>0</v>
      </c>
      <c r="F208" s="323">
        <f>+ABS(D208)+ABS(E208)</f>
        <v>0</v>
      </c>
      <c r="G208" s="288"/>
    </row>
    <row r="209" spans="1:7" x14ac:dyDescent="0.2">
      <c r="A209" s="288"/>
      <c r="B209" s="280" t="s">
        <v>519</v>
      </c>
      <c r="C209" s="284" t="s">
        <v>552</v>
      </c>
      <c r="D209" s="322"/>
      <c r="E209" s="322"/>
      <c r="F209" s="324">
        <f>IF('4.Informatie'!C8=0,"-",SUM($F$204:$F$208))</f>
        <v>22</v>
      </c>
      <c r="G209" s="288"/>
    </row>
    <row r="210" spans="1:7" x14ac:dyDescent="0.2">
      <c r="A210" s="288"/>
      <c r="B210" s="280" t="s">
        <v>521</v>
      </c>
      <c r="C210" s="284" t="s">
        <v>520</v>
      </c>
      <c r="D210" s="322"/>
      <c r="E210" s="322"/>
      <c r="F210" s="324">
        <f>+$D$27</f>
        <v>625446</v>
      </c>
      <c r="G210" s="288"/>
    </row>
    <row r="211" spans="1:7" x14ac:dyDescent="0.2">
      <c r="A211" s="288"/>
      <c r="B211" s="280" t="s">
        <v>534</v>
      </c>
      <c r="C211" s="284" t="s">
        <v>527</v>
      </c>
      <c r="D211" s="297"/>
      <c r="E211" s="297"/>
      <c r="F211" s="315">
        <f>IF('4.Informatie'!C8=0,"-",IF(ISERROR(F209/F210),1,F209/F210))</f>
        <v>3.5174899191936634E-5</v>
      </c>
      <c r="G211" s="288"/>
    </row>
    <row r="212" spans="1:7" ht="12.75" customHeight="1" x14ac:dyDescent="0.2">
      <c r="A212" s="288"/>
      <c r="B212" s="292"/>
      <c r="C212" s="284" t="s">
        <v>528</v>
      </c>
      <c r="D212" s="576" t="str">
        <f>IF('4.Informatie'!C8&lt;&gt;0,IF(F211&lt;=0.01,"voldoende","onvoldoende"), "nvt")</f>
        <v>voldoende</v>
      </c>
      <c r="E212" s="576"/>
      <c r="F212" s="576"/>
      <c r="G212" s="288"/>
    </row>
    <row r="213" spans="1:7" x14ac:dyDescent="0.2">
      <c r="A213" s="288"/>
      <c r="B213" s="288"/>
      <c r="C213" s="288"/>
      <c r="D213" s="288"/>
      <c r="E213" s="288"/>
      <c r="F213" s="288"/>
      <c r="G213" s="288"/>
    </row>
    <row r="215" spans="1:7" x14ac:dyDescent="0.2">
      <c r="A215" s="283" t="s">
        <v>556</v>
      </c>
      <c r="B215" s="288"/>
      <c r="C215" s="288" t="s">
        <v>626</v>
      </c>
      <c r="D215" s="288"/>
      <c r="E215" s="288"/>
      <c r="F215" s="288"/>
      <c r="G215" s="288"/>
    </row>
    <row r="216" spans="1:7" x14ac:dyDescent="0.2">
      <c r="A216" s="288"/>
      <c r="B216" s="292"/>
      <c r="C216" s="292"/>
      <c r="D216" s="298" t="s">
        <v>537</v>
      </c>
      <c r="E216" s="298" t="s">
        <v>538</v>
      </c>
      <c r="F216" s="298"/>
      <c r="G216" s="288"/>
    </row>
    <row r="217" spans="1:7" x14ac:dyDescent="0.2">
      <c r="A217" s="288"/>
      <c r="B217" s="292"/>
      <c r="C217" s="292"/>
      <c r="D217" s="284" t="s">
        <v>519</v>
      </c>
      <c r="E217" s="284" t="s">
        <v>521</v>
      </c>
      <c r="F217" s="284" t="s">
        <v>557</v>
      </c>
      <c r="G217" s="288"/>
    </row>
    <row r="218" spans="1:7" x14ac:dyDescent="0.2">
      <c r="A218" s="288"/>
      <c r="B218" s="300"/>
      <c r="C218" s="287" t="s">
        <v>142</v>
      </c>
      <c r="D218" s="325">
        <f>'5.Verdelingsmatrix lasten'!$AN$80</f>
        <v>921867</v>
      </c>
      <c r="E218" s="325">
        <f>'6.Verdelingsmatrix baten'!$AP$80</f>
        <v>921858</v>
      </c>
      <c r="F218" s="326"/>
      <c r="G218" s="288"/>
    </row>
    <row r="219" spans="1:7" x14ac:dyDescent="0.2">
      <c r="A219" s="288"/>
      <c r="B219" s="280"/>
      <c r="C219" s="284" t="s">
        <v>552</v>
      </c>
      <c r="D219" s="322"/>
      <c r="E219" s="322"/>
      <c r="F219" s="322">
        <f>IF(AND('4.Informatie'!C8&gt;0,'4.Informatie'!C8&lt;5),"-",ABS(D218-E218))</f>
        <v>9</v>
      </c>
      <c r="G219" s="288"/>
    </row>
    <row r="220" spans="1:7" x14ac:dyDescent="0.2">
      <c r="A220" s="288"/>
      <c r="B220" s="280"/>
      <c r="C220" s="284" t="s">
        <v>558</v>
      </c>
      <c r="D220" s="294"/>
      <c r="E220" s="294"/>
      <c r="F220" s="294">
        <v>50</v>
      </c>
      <c r="G220" s="288"/>
    </row>
    <row r="221" spans="1:7" x14ac:dyDescent="0.2">
      <c r="A221" s="288"/>
      <c r="B221" s="292"/>
      <c r="C221" s="284" t="s">
        <v>528</v>
      </c>
      <c r="D221" s="576" t="str">
        <f>IF(AND('4.Informatie'!C8&gt;0,'4.Informatie'!C8&lt;5),"nvt",IF(OR(SUM(D218:E218)=0,F219&gt;F220),"onvoldoende","voldoende"))</f>
        <v>voldoende</v>
      </c>
      <c r="E221" s="576"/>
      <c r="F221" s="576"/>
      <c r="G221" s="288"/>
    </row>
    <row r="222" spans="1:7" x14ac:dyDescent="0.2">
      <c r="A222" s="288"/>
      <c r="B222" s="288"/>
      <c r="C222" s="288"/>
      <c r="D222" s="288"/>
      <c r="E222" s="288"/>
      <c r="F222" s="288"/>
      <c r="G222" s="288"/>
    </row>
    <row r="224" spans="1:7" x14ac:dyDescent="0.2">
      <c r="A224" s="283" t="s">
        <v>559</v>
      </c>
      <c r="B224" s="288"/>
      <c r="C224" s="288" t="s">
        <v>514</v>
      </c>
      <c r="D224" s="288"/>
      <c r="E224" s="288"/>
      <c r="F224" s="288"/>
      <c r="G224" s="288"/>
    </row>
    <row r="225" spans="1:7" x14ac:dyDescent="0.2">
      <c r="A225" s="288"/>
      <c r="B225" s="292"/>
      <c r="C225" s="292"/>
      <c r="D225" s="284" t="s">
        <v>561</v>
      </c>
      <c r="E225" s="284" t="s">
        <v>562</v>
      </c>
      <c r="F225" s="298"/>
      <c r="G225" s="288"/>
    </row>
    <row r="226" spans="1:7" x14ac:dyDescent="0.2">
      <c r="A226" s="288"/>
      <c r="B226" s="292"/>
      <c r="C226" s="292"/>
      <c r="D226" s="284" t="s">
        <v>519</v>
      </c>
      <c r="E226" s="284" t="s">
        <v>521</v>
      </c>
      <c r="F226" s="284" t="s">
        <v>557</v>
      </c>
      <c r="G226" s="288"/>
    </row>
    <row r="227" spans="1:7" x14ac:dyDescent="0.2">
      <c r="A227" s="288"/>
      <c r="B227" s="300"/>
      <c r="C227" s="287" t="s">
        <v>563</v>
      </c>
      <c r="D227" s="325">
        <f>'7.Balansstanden'!$F$101</f>
        <v>2292633</v>
      </c>
      <c r="E227" s="325">
        <f>'7.Balansstanden'!$F$102</f>
        <v>2292632</v>
      </c>
      <c r="F227" s="326"/>
      <c r="G227" s="288"/>
    </row>
    <row r="228" spans="1:7" x14ac:dyDescent="0.2">
      <c r="A228" s="288"/>
      <c r="B228" s="280"/>
      <c r="C228" s="284" t="s">
        <v>552</v>
      </c>
      <c r="D228" s="322"/>
      <c r="E228" s="322"/>
      <c r="F228" s="324">
        <f>IF('4.Informatie'!C8&lt;&gt;5,"-",ABS(D227-E227))</f>
        <v>1</v>
      </c>
      <c r="G228" s="288"/>
    </row>
    <row r="229" spans="1:7" x14ac:dyDescent="0.2">
      <c r="A229" s="288"/>
      <c r="B229" s="280"/>
      <c r="C229" s="284" t="s">
        <v>568</v>
      </c>
      <c r="D229" s="294"/>
      <c r="E229" s="294"/>
      <c r="F229" s="294">
        <v>50</v>
      </c>
      <c r="G229" s="288"/>
    </row>
    <row r="230" spans="1:7" ht="12.75" customHeight="1" x14ac:dyDescent="0.2">
      <c r="A230" s="288"/>
      <c r="B230" s="292"/>
      <c r="C230" s="284" t="s">
        <v>528</v>
      </c>
      <c r="D230" s="576" t="str">
        <f>IF('4.Informatie'!$C$8&lt;&gt;5,"nvt",IF(F228&gt;F229,"onvoldoende","voldoende"))</f>
        <v>voldoende</v>
      </c>
      <c r="E230" s="576"/>
      <c r="F230" s="576"/>
      <c r="G230" s="288"/>
    </row>
    <row r="231" spans="1:7" x14ac:dyDescent="0.2">
      <c r="A231" s="288"/>
      <c r="B231" s="288"/>
      <c r="C231" s="288"/>
      <c r="D231" s="288"/>
      <c r="E231" s="288"/>
      <c r="F231" s="288"/>
      <c r="G231" s="288"/>
    </row>
    <row r="233" spans="1:7" x14ac:dyDescent="0.2">
      <c r="A233" s="283" t="s">
        <v>560</v>
      </c>
      <c r="B233" s="288"/>
      <c r="C233" s="288" t="s">
        <v>515</v>
      </c>
      <c r="D233" s="288"/>
      <c r="E233" s="288"/>
      <c r="F233" s="288"/>
      <c r="G233" s="288"/>
    </row>
    <row r="234" spans="1:7" x14ac:dyDescent="0.2">
      <c r="A234" s="288"/>
      <c r="B234" s="292"/>
      <c r="C234" s="292"/>
      <c r="D234" s="284" t="s">
        <v>561</v>
      </c>
      <c r="E234" s="284" t="s">
        <v>562</v>
      </c>
      <c r="F234" s="298"/>
      <c r="G234" s="288"/>
    </row>
    <row r="235" spans="1:7" x14ac:dyDescent="0.2">
      <c r="A235" s="288"/>
      <c r="B235" s="292"/>
      <c r="C235" s="292"/>
      <c r="D235" s="284" t="s">
        <v>519</v>
      </c>
      <c r="E235" s="284" t="s">
        <v>521</v>
      </c>
      <c r="F235" s="284" t="s">
        <v>557</v>
      </c>
      <c r="G235" s="288"/>
    </row>
    <row r="236" spans="1:7" x14ac:dyDescent="0.2">
      <c r="A236" s="288"/>
      <c r="B236" s="300"/>
      <c r="C236" s="287" t="s">
        <v>565</v>
      </c>
      <c r="D236" s="325">
        <f>'7.Balansstanden'!$H$101</f>
        <v>2322055</v>
      </c>
      <c r="E236" s="325">
        <f>'7.Balansstanden'!$H$102</f>
        <v>2322053</v>
      </c>
      <c r="F236" s="326"/>
      <c r="G236" s="288"/>
    </row>
    <row r="237" spans="1:7" x14ac:dyDescent="0.2">
      <c r="A237" s="288"/>
      <c r="B237" s="280"/>
      <c r="C237" s="284" t="s">
        <v>552</v>
      </c>
      <c r="D237" s="322"/>
      <c r="E237" s="322"/>
      <c r="F237" s="324">
        <f>IF('4.Informatie'!C8&lt;&gt;5,"-",ABS(D236-E236))</f>
        <v>2</v>
      </c>
      <c r="G237" s="288"/>
    </row>
    <row r="238" spans="1:7" x14ac:dyDescent="0.2">
      <c r="A238" s="288"/>
      <c r="B238" s="280"/>
      <c r="C238" s="284" t="s">
        <v>568</v>
      </c>
      <c r="D238" s="294"/>
      <c r="E238" s="294"/>
      <c r="F238" s="294">
        <v>50</v>
      </c>
      <c r="G238" s="288"/>
    </row>
    <row r="239" spans="1:7" x14ac:dyDescent="0.2">
      <c r="A239" s="288"/>
      <c r="B239" s="292"/>
      <c r="C239" s="284" t="s">
        <v>528</v>
      </c>
      <c r="D239" s="576" t="str">
        <f>IF('4.Informatie'!$C$8&lt;&gt;5,"nvt",IF(F237&gt;F238,"onvoldoende","voldoende"))</f>
        <v>voldoende</v>
      </c>
      <c r="E239" s="576"/>
      <c r="F239" s="576"/>
      <c r="G239" s="288"/>
    </row>
    <row r="240" spans="1:7" x14ac:dyDescent="0.2">
      <c r="A240" s="288"/>
      <c r="B240" s="288"/>
      <c r="C240" s="288"/>
      <c r="D240" s="288"/>
      <c r="E240" s="288"/>
      <c r="F240" s="288"/>
      <c r="G240" s="288"/>
    </row>
    <row r="242" spans="1:7" x14ac:dyDescent="0.2">
      <c r="A242" s="283" t="s">
        <v>564</v>
      </c>
      <c r="B242" s="288"/>
      <c r="C242" s="288" t="s">
        <v>516</v>
      </c>
      <c r="D242" s="288"/>
      <c r="E242" s="288"/>
      <c r="F242" s="288"/>
      <c r="G242" s="288"/>
    </row>
    <row r="243" spans="1:7" x14ac:dyDescent="0.2">
      <c r="A243" s="288"/>
      <c r="B243" s="292"/>
      <c r="C243" s="292"/>
      <c r="D243" s="298" t="s">
        <v>537</v>
      </c>
      <c r="E243" s="298" t="s">
        <v>538</v>
      </c>
      <c r="F243" s="298"/>
      <c r="G243" s="288"/>
    </row>
    <row r="244" spans="1:7" x14ac:dyDescent="0.2">
      <c r="A244" s="288"/>
      <c r="B244" s="292"/>
      <c r="C244" s="292"/>
      <c r="D244" s="284" t="s">
        <v>519</v>
      </c>
      <c r="E244" s="284" t="s">
        <v>521</v>
      </c>
      <c r="F244" s="284" t="s">
        <v>532</v>
      </c>
      <c r="G244" s="288"/>
    </row>
    <row r="245" spans="1:7" x14ac:dyDescent="0.2">
      <c r="A245" s="288"/>
      <c r="B245" s="293"/>
      <c r="C245" s="293" t="s">
        <v>566</v>
      </c>
      <c r="D245" s="321">
        <f>+'5.Verdelingsmatrix lasten'!$U$174</f>
        <v>0</v>
      </c>
      <c r="E245" s="321">
        <f>+'6.Verdelingsmatrix baten'!$V$174</f>
        <v>0</v>
      </c>
      <c r="F245" s="321">
        <f>+ABS(D245)+ABS(E245)</f>
        <v>0</v>
      </c>
      <c r="G245" s="288"/>
    </row>
    <row r="246" spans="1:7" x14ac:dyDescent="0.2">
      <c r="A246" s="288"/>
      <c r="B246" s="295"/>
      <c r="C246" s="295" t="s">
        <v>567</v>
      </c>
      <c r="D246" s="323">
        <f>+'5.Verdelingsmatrix lasten'!$AF$174</f>
        <v>0</v>
      </c>
      <c r="E246" s="323">
        <f>+'6.Verdelingsmatrix baten'!$AG$174</f>
        <v>0</v>
      </c>
      <c r="F246" s="323">
        <f>+ABS(D246)+ABS(E246)</f>
        <v>0</v>
      </c>
      <c r="G246" s="288"/>
    </row>
    <row r="247" spans="1:7" x14ac:dyDescent="0.2">
      <c r="A247" s="288"/>
      <c r="B247" s="280"/>
      <c r="C247" s="284" t="s">
        <v>552</v>
      </c>
      <c r="D247" s="322"/>
      <c r="E247" s="322"/>
      <c r="F247" s="324">
        <f>IF('4.Informatie'!C8=0,"-",SUM(F245:F246))</f>
        <v>0</v>
      </c>
      <c r="G247" s="288"/>
    </row>
    <row r="248" spans="1:7" x14ac:dyDescent="0.2">
      <c r="A248" s="288"/>
      <c r="B248" s="280"/>
      <c r="C248" s="284" t="s">
        <v>568</v>
      </c>
      <c r="D248" s="294"/>
      <c r="E248" s="294"/>
      <c r="F248" s="294">
        <v>50</v>
      </c>
      <c r="G248" s="288"/>
    </row>
    <row r="249" spans="1:7" x14ac:dyDescent="0.2">
      <c r="A249" s="288"/>
      <c r="B249" s="292"/>
      <c r="C249" s="284" t="s">
        <v>528</v>
      </c>
      <c r="D249" s="576" t="str">
        <f>IF('4.Informatie'!$C$8="","onvoldoende",IF('4.Informatie'!$C$8=0,"nvt",IF(F247&gt;F248,"onvoldoende","voldoende")))</f>
        <v>voldoende</v>
      </c>
      <c r="E249" s="576"/>
      <c r="F249" s="576"/>
      <c r="G249" s="288"/>
    </row>
    <row r="250" spans="1:7" x14ac:dyDescent="0.2">
      <c r="A250" s="288"/>
      <c r="B250" s="288"/>
      <c r="C250" s="288"/>
      <c r="D250" s="288"/>
      <c r="E250" s="288"/>
      <c r="F250" s="288"/>
      <c r="G250" s="288"/>
    </row>
  </sheetData>
  <sheetProtection algorithmName="SHA-512" hashValue="q3cTLkpDRXhhjsF8JcaQEwrFm3KdU7mAVrUShHGbT2o9yHc300rdjZnz1NUlAtdsw2aEa/sLFlHFUhRgbMZ3aw==" saltValue="hZ0lZMSjMyFGVpyy6xs+8Q==" spinCount="100000" sheet="1" objects="1" scenarios="1"/>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_x0020_en_x0020_tijd xmlns="0dee8f4e-e48e-4bf1-b8fc-2d5fbacd827c" xsi:nil="true"/>
    <lcf76f155ced4ddcb4097134ff3c332f xmlns="0dee8f4e-e48e-4bf1-b8fc-2d5fbacd827c">
      <Terms xmlns="http://schemas.microsoft.com/office/infopath/2007/PartnerControls"/>
    </lcf76f155ced4ddcb4097134ff3c332f>
    <TaxCatchAll xmlns="3fba18a1-4226-4da0-a91f-3a4042f1a3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8C2EF22E67FF4089C402477ADFE012" ma:contentTypeVersion="11" ma:contentTypeDescription="Een nieuw document maken." ma:contentTypeScope="" ma:versionID="4b48ada071fa3a7008442584bf447a9a">
  <xsd:schema xmlns:xsd="http://www.w3.org/2001/XMLSchema" xmlns:xs="http://www.w3.org/2001/XMLSchema" xmlns:p="http://schemas.microsoft.com/office/2006/metadata/properties" xmlns:ns2="0dee8f4e-e48e-4bf1-b8fc-2d5fbacd827c" xmlns:ns3="3fba18a1-4226-4da0-a91f-3a4042f1a34d" targetNamespace="http://schemas.microsoft.com/office/2006/metadata/properties" ma:root="true" ma:fieldsID="6498e9a6a7d620c049a2cb86fede22ef" ns2:_="" ns3:_="">
    <xsd:import namespace="0dee8f4e-e48e-4bf1-b8fc-2d5fbacd827c"/>
    <xsd:import namespace="3fba18a1-4226-4da0-a91f-3a4042f1a3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um_x0020_en_x0020_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e8f4e-e48e-4bf1-b8fc-2d5fbacd82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d5b7d9b-e180-4195-91f8-883dac7ab7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_x0020_en_x0020_tijd" ma:index="18" nillable="true" ma:displayName="Datum en tijd" ma:format="DateOnly" ma:internalName="Datum_x0020_en_x0020_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fba18a1-4226-4da0-a91f-3a4042f1a3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24a9eb-95d7-4c64-9f3e-c66c26e1c61e}" ma:internalName="TaxCatchAll" ma:showField="CatchAllData" ma:web="3fba18a1-4226-4da0-a91f-3a4042f1a3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03E6B-78EE-462F-9B01-6D75B077069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3fba18a1-4226-4da0-a91f-3a4042f1a34d"/>
    <ds:schemaRef ds:uri="0dee8f4e-e48e-4bf1-b8fc-2d5fbacd827c"/>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11292F0-359D-4A86-92A4-A89B5CDF6C28}">
  <ds:schemaRefs>
    <ds:schemaRef ds:uri="http://schemas.microsoft.com/sharepoint/v3/contenttype/forms"/>
  </ds:schemaRefs>
</ds:datastoreItem>
</file>

<file path=customXml/itemProps3.xml><?xml version="1.0" encoding="utf-8"?>
<ds:datastoreItem xmlns:ds="http://schemas.openxmlformats.org/officeDocument/2006/customXml" ds:itemID="{AF0C7F36-80D6-41D3-A865-ACD8C0FFB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ee8f4e-e48e-4bf1-b8fc-2d5fbacd827c"/>
    <ds:schemaRef ds:uri="3fba18a1-4226-4da0-a91f-3a4042f1a3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2026-06-22T08:28:35Z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0x010100308C2EF22E67FF4089C402477ADFE012</vt:lpwstr>
  </property>
</Properties>
</file>